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tdworldwide.sharepoint.com/sites/CG_VMwareNL/Shared Documents/VMware/Customer Decks/VMware new license model/"/>
    </mc:Choice>
  </mc:AlternateContent>
  <xr:revisionPtr revIDLastSave="0" documentId="8_{67F67158-A835-4672-B59C-F66638F8C704}" xr6:coauthVersionLast="47" xr6:coauthVersionMax="47" xr10:uidLastSave="{00000000-0000-0000-0000-000000000000}"/>
  <workbookProtection workbookAlgorithmName="SHA-512" workbookHashValue="Qo+F76JFWaJweAnFEixrF/K3+F4+BiyOXhZU2XMwm+zgqrCrWvGVfa7rErXKG1qkSUBPAt/ZJ2s/A3FY23+GWQ==" workbookSaltValue="gscSbSKBdlzMlkFFJczVTQ==" workbookSpinCount="100000" lockStructure="1"/>
  <bookViews>
    <workbookView xWindow="38280" yWindow="1500" windowWidth="29040" windowHeight="17520" xr2:uid="{2BB8E66C-C978-4289-A81D-65CA14714979}"/>
  </bookViews>
  <sheets>
    <sheet name="VMware by Broadcom" sheetId="1" r:id="rId1"/>
    <sheet name="vDefend Gateway" sheetId="9" state="hidden" r:id="rId2"/>
    <sheet name="Release notes" sheetId="8" r:id="rId3"/>
    <sheet name="NSX AVI" sheetId="4" r:id="rId4"/>
    <sheet name="vSphere Pricing" sheetId="7" state="hidden" r:id="rId5"/>
    <sheet name="Add-on Pricing" sheetId="5" state="hidden" r:id="rId6"/>
    <sheet name="Currency and Contacts" sheetId="6"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5" l="1"/>
  <c r="G41" i="5"/>
  <c r="E41" i="5" s="1"/>
  <c r="G40" i="5"/>
  <c r="E40" i="5" s="1"/>
  <c r="G39" i="5"/>
  <c r="J106" i="1" a="1"/>
  <c r="J106" i="1" s="1"/>
  <c r="J105" i="1" a="1"/>
  <c r="J105" i="1" s="1"/>
  <c r="J104" i="1" a="1"/>
  <c r="J104" i="1" s="1"/>
  <c r="B9" i="7" a="1"/>
  <c r="B9" i="7" s="1"/>
  <c r="B8" i="7" a="1"/>
  <c r="B8" i="7" s="1"/>
  <c r="B7" i="7" a="1"/>
  <c r="B7" i="7" s="1"/>
  <c r="H89" i="1"/>
  <c r="H90" i="1"/>
  <c r="H91" i="1"/>
  <c r="R40" i="5"/>
  <c r="S40" i="5" s="1"/>
  <c r="N40" i="5"/>
  <c r="O40" i="5" s="1"/>
  <c r="K40" i="5"/>
  <c r="R41" i="5"/>
  <c r="S41" i="5" s="1"/>
  <c r="N41" i="5"/>
  <c r="O41" i="5" s="1"/>
  <c r="K41" i="5"/>
  <c r="I73" i="1"/>
  <c r="I74" i="1"/>
  <c r="H73" i="1"/>
  <c r="H74" i="1"/>
  <c r="G38" i="5"/>
  <c r="G37" i="5"/>
  <c r="G36" i="5"/>
  <c r="G35" i="5"/>
  <c r="G34" i="5"/>
  <c r="G33" i="5"/>
  <c r="G32" i="5"/>
  <c r="G31" i="5"/>
  <c r="G30" i="5"/>
  <c r="G29" i="5"/>
  <c r="H87" i="1"/>
  <c r="H86" i="1"/>
  <c r="H85" i="1"/>
  <c r="H84" i="1"/>
  <c r="H83" i="1"/>
  <c r="H82" i="1"/>
  <c r="H81" i="1"/>
  <c r="H80" i="1"/>
  <c r="P7" i="7"/>
  <c r="Q7" i="7" s="1"/>
  <c r="L7" i="7"/>
  <c r="M7" i="7" s="1"/>
  <c r="I7" i="7"/>
  <c r="C5" i="7"/>
  <c r="I8" i="7"/>
  <c r="M8" i="7"/>
  <c r="Q8" i="7"/>
  <c r="I9" i="7"/>
  <c r="M9" i="7"/>
  <c r="Q9" i="7"/>
  <c r="B10" i="7"/>
  <c r="I10" i="7"/>
  <c r="L10" i="7"/>
  <c r="M10" i="7" s="1"/>
  <c r="P10" i="7"/>
  <c r="Q10" i="7"/>
  <c r="B11" i="7"/>
  <c r="I11" i="7"/>
  <c r="L11" i="7"/>
  <c r="M11" i="7"/>
  <c r="P11" i="7"/>
  <c r="Q11" i="7"/>
  <c r="T7" i="5"/>
  <c r="G14" i="5"/>
  <c r="T14" i="5" s="1"/>
  <c r="G15" i="5"/>
  <c r="T15" i="5" s="1"/>
  <c r="H58" i="1"/>
  <c r="H59" i="1"/>
  <c r="H60" i="1"/>
  <c r="G28" i="5"/>
  <c r="T28" i="5" s="1"/>
  <c r="H63" i="1"/>
  <c r="G26" i="5"/>
  <c r="T26" i="5" s="1"/>
  <c r="G27" i="5"/>
  <c r="T27" i="5" s="1"/>
  <c r="G13" i="5"/>
  <c r="T13" i="5" s="1"/>
  <c r="G12" i="5"/>
  <c r="T12" i="5" s="1"/>
  <c r="G17" i="5"/>
  <c r="T17" i="5" s="1"/>
  <c r="G11" i="5"/>
  <c r="T11" i="5" s="1"/>
  <c r="G10" i="5"/>
  <c r="T10" i="5" s="1"/>
  <c r="N26" i="5"/>
  <c r="O26" i="5" s="1"/>
  <c r="R42" i="5"/>
  <c r="S42" i="5" s="1"/>
  <c r="N42" i="5"/>
  <c r="O42" i="5" s="1"/>
  <c r="K42" i="5"/>
  <c r="R39" i="5"/>
  <c r="S39" i="5" s="1"/>
  <c r="N39" i="5"/>
  <c r="O39" i="5" s="1"/>
  <c r="K39" i="5"/>
  <c r="R38" i="5"/>
  <c r="S38" i="5" s="1"/>
  <c r="N38" i="5"/>
  <c r="O38" i="5" s="1"/>
  <c r="K38" i="5"/>
  <c r="R37" i="5"/>
  <c r="S37" i="5" s="1"/>
  <c r="N37" i="5"/>
  <c r="O37" i="5" s="1"/>
  <c r="K37" i="5"/>
  <c r="R36" i="5"/>
  <c r="S36" i="5" s="1"/>
  <c r="N36" i="5"/>
  <c r="O36" i="5" s="1"/>
  <c r="K36" i="5"/>
  <c r="R35" i="5"/>
  <c r="S35" i="5" s="1"/>
  <c r="N35" i="5"/>
  <c r="O35" i="5" s="1"/>
  <c r="K35" i="5"/>
  <c r="R34" i="5"/>
  <c r="S34" i="5" s="1"/>
  <c r="N34" i="5"/>
  <c r="O34" i="5" s="1"/>
  <c r="K34" i="5"/>
  <c r="R33" i="5"/>
  <c r="S33" i="5" s="1"/>
  <c r="N33" i="5"/>
  <c r="O33" i="5" s="1"/>
  <c r="K33" i="5"/>
  <c r="R32" i="5"/>
  <c r="S32" i="5" s="1"/>
  <c r="N32" i="5"/>
  <c r="O32" i="5" s="1"/>
  <c r="K32" i="5"/>
  <c r="R31" i="5"/>
  <c r="S31" i="5" s="1"/>
  <c r="N31" i="5"/>
  <c r="O31" i="5" s="1"/>
  <c r="K31" i="5"/>
  <c r="R30" i="5"/>
  <c r="S30" i="5" s="1"/>
  <c r="N30" i="5"/>
  <c r="O30" i="5" s="1"/>
  <c r="K30" i="5"/>
  <c r="R29" i="5"/>
  <c r="S29" i="5" s="1"/>
  <c r="N29" i="5"/>
  <c r="O29" i="5" s="1"/>
  <c r="K29" i="5"/>
  <c r="S28" i="5"/>
  <c r="R28" i="5"/>
  <c r="N28" i="5"/>
  <c r="O28" i="5" s="1"/>
  <c r="K28" i="5"/>
  <c r="R27" i="5"/>
  <c r="S27" i="5" s="1"/>
  <c r="N27" i="5"/>
  <c r="O27" i="5" s="1"/>
  <c r="K27" i="5"/>
  <c r="R26" i="5"/>
  <c r="S26" i="5" s="1"/>
  <c r="K26" i="5"/>
  <c r="G25" i="5"/>
  <c r="H92" i="1"/>
  <c r="R25" i="5" l="1"/>
  <c r="R24" i="5"/>
  <c r="R23" i="5"/>
  <c r="R22" i="5"/>
  <c r="R21" i="5"/>
  <c r="R20" i="5"/>
  <c r="R19" i="5"/>
  <c r="R18" i="5"/>
  <c r="R17" i="5"/>
  <c r="R16" i="5"/>
  <c r="R15" i="5"/>
  <c r="R14" i="5"/>
  <c r="R13" i="5"/>
  <c r="R12" i="5"/>
  <c r="R11" i="5"/>
  <c r="R10" i="5"/>
  <c r="R9" i="5"/>
  <c r="R8" i="5"/>
  <c r="R7" i="5"/>
  <c r="R6" i="5"/>
  <c r="S6" i="5" s="1"/>
  <c r="N6" i="5"/>
  <c r="N17" i="5"/>
  <c r="N16" i="5"/>
  <c r="N15" i="5"/>
  <c r="N14" i="5"/>
  <c r="N13" i="5"/>
  <c r="N12" i="5"/>
  <c r="N11" i="5"/>
  <c r="N10" i="5"/>
  <c r="N9" i="5"/>
  <c r="N8" i="5"/>
  <c r="N7" i="5"/>
  <c r="N25" i="5"/>
  <c r="N24" i="5"/>
  <c r="N23" i="5"/>
  <c r="N22" i="5"/>
  <c r="N21" i="5"/>
  <c r="N20" i="5"/>
  <c r="O20" i="5" s="1"/>
  <c r="N19" i="5"/>
  <c r="N18" i="5"/>
  <c r="G23" i="5"/>
  <c r="G24" i="5"/>
  <c r="K24" i="5"/>
  <c r="K23" i="5"/>
  <c r="G21" i="5"/>
  <c r="O21" i="5"/>
  <c r="H77" i="1"/>
  <c r="H78" i="1"/>
  <c r="H79" i="1"/>
  <c r="H67" i="1"/>
  <c r="H66" i="1"/>
  <c r="G22" i="5"/>
  <c r="I75" i="1"/>
  <c r="O6" i="5"/>
  <c r="K6" i="5"/>
  <c r="E22" i="5" l="1"/>
  <c r="E21" i="5"/>
  <c r="B133" i="1" a="1"/>
  <c r="B133" i="1" s="1"/>
  <c r="G18" i="5"/>
  <c r="G19" i="5"/>
  <c r="T6" i="5"/>
  <c r="H52" i="1"/>
  <c r="S7" i="5"/>
  <c r="O7" i="5"/>
  <c r="K7" i="5"/>
  <c r="G7" i="5"/>
  <c r="T8" i="5"/>
  <c r="T9" i="5"/>
  <c r="F3" i="5"/>
  <c r="H53" i="1"/>
  <c r="S10" i="5"/>
  <c r="J116" i="1"/>
  <c r="H116" i="1"/>
  <c r="F116" i="1"/>
  <c r="B97" i="1"/>
  <c r="H107" i="1"/>
  <c r="H106" i="1"/>
  <c r="H105" i="1"/>
  <c r="H104" i="1"/>
  <c r="F107" i="1"/>
  <c r="F106" i="1"/>
  <c r="F105" i="1"/>
  <c r="F104" i="1"/>
  <c r="D105" i="1"/>
  <c r="D106" i="1"/>
  <c r="D107" i="1"/>
  <c r="D104" i="1"/>
  <c r="F55" i="1"/>
  <c r="E23" i="5" l="1"/>
  <c r="E24" i="5"/>
  <c r="E25" i="5" l="1"/>
  <c r="S25" i="5"/>
  <c r="S24" i="5"/>
  <c r="S23" i="5"/>
  <c r="S22" i="5"/>
  <c r="S21" i="5"/>
  <c r="S20" i="5"/>
  <c r="S19" i="5"/>
  <c r="S18" i="5"/>
  <c r="S17" i="5"/>
  <c r="S16" i="5"/>
  <c r="S15" i="5"/>
  <c r="S14" i="5"/>
  <c r="S13" i="5"/>
  <c r="S12" i="5"/>
  <c r="S11" i="5"/>
  <c r="S9" i="5"/>
  <c r="S8" i="5"/>
  <c r="O25" i="5"/>
  <c r="O24" i="5"/>
  <c r="O23" i="5"/>
  <c r="O22" i="5"/>
  <c r="O19" i="5"/>
  <c r="O18" i="5"/>
  <c r="O17" i="5"/>
  <c r="O16" i="5"/>
  <c r="O15" i="5"/>
  <c r="O14" i="5"/>
  <c r="O13" i="5"/>
  <c r="O12" i="5"/>
  <c r="O11" i="5"/>
  <c r="O10" i="5"/>
  <c r="O9" i="5"/>
  <c r="O8" i="5"/>
  <c r="K25" i="5"/>
  <c r="K22" i="5"/>
  <c r="K21" i="5"/>
  <c r="K20" i="5"/>
  <c r="K19" i="5"/>
  <c r="K18" i="5"/>
  <c r="K17" i="5"/>
  <c r="K16" i="5"/>
  <c r="K15" i="5"/>
  <c r="K14" i="5"/>
  <c r="K13" i="5"/>
  <c r="K12" i="5"/>
  <c r="K11" i="5"/>
  <c r="K10" i="5"/>
  <c r="K9" i="5"/>
  <c r="K8" i="5"/>
  <c r="B18" i="6"/>
  <c r="B17" i="6"/>
  <c r="B16" i="6"/>
  <c r="B14" i="6"/>
  <c r="B13" i="6"/>
  <c r="B12" i="6"/>
  <c r="B11" i="6"/>
  <c r="B15" i="6" s="1"/>
  <c r="H16" i="1"/>
  <c r="H17" i="1"/>
  <c r="G18" i="6"/>
  <c r="G17" i="6"/>
  <c r="G16" i="6"/>
  <c r="G15" i="6"/>
  <c r="G14" i="6"/>
  <c r="G13" i="6"/>
  <c r="G12" i="6"/>
  <c r="G11" i="6"/>
  <c r="G10" i="6"/>
  <c r="G9" i="6"/>
  <c r="G8" i="6"/>
  <c r="G7" i="6"/>
  <c r="G4" i="6"/>
  <c r="H21" i="6" s="1"/>
  <c r="B10" i="6"/>
  <c r="B9" i="6"/>
  <c r="B8" i="6"/>
  <c r="B7" i="6"/>
  <c r="B4" i="6"/>
  <c r="G20" i="5"/>
  <c r="H75" i="1"/>
  <c r="G16" i="5"/>
  <c r="G9" i="5"/>
  <c r="G8" i="5"/>
  <c r="G6" i="5"/>
  <c r="B112" i="1"/>
  <c r="J55" i="1"/>
  <c r="I55" i="1"/>
  <c r="J52" i="1"/>
  <c r="L52" i="1"/>
  <c r="J56" i="1"/>
  <c r="E13" i="1"/>
  <c r="E12" i="1"/>
  <c r="E14" i="1"/>
  <c r="E20" i="5" l="1"/>
  <c r="B5" i="6"/>
  <c r="B6" i="6" s="1"/>
  <c r="D25" i="6" s="1"/>
  <c r="G5" i="6"/>
  <c r="H22" i="6" s="1"/>
  <c r="D21" i="6"/>
  <c r="E6" i="5"/>
  <c r="E7" i="5" s="1"/>
  <c r="H62" i="1"/>
  <c r="H56" i="1"/>
  <c r="D37" i="6" l="1"/>
  <c r="D35" i="6"/>
  <c r="D33" i="6"/>
  <c r="D24" i="6"/>
  <c r="E8" i="5"/>
  <c r="D36" i="6"/>
  <c r="D27" i="6"/>
  <c r="D30" i="6"/>
  <c r="D31" i="6"/>
  <c r="D26" i="6"/>
  <c r="D34" i="6"/>
  <c r="D32" i="6"/>
  <c r="D22" i="6"/>
  <c r="D23" i="6"/>
  <c r="D29" i="6"/>
  <c r="D28" i="6"/>
  <c r="D38" i="6"/>
  <c r="G6" i="6"/>
  <c r="H33" i="6" s="1"/>
  <c r="H55" i="1"/>
  <c r="F9" i="1"/>
  <c r="B100" i="1" l="1"/>
  <c r="D116" i="1"/>
  <c r="E116" i="1" s="1"/>
  <c r="A7" i="7"/>
  <c r="E10" i="7"/>
  <c r="E8" i="7"/>
  <c r="E9" i="7"/>
  <c r="E7" i="7"/>
  <c r="E105" i="1"/>
  <c r="G105" i="1"/>
  <c r="I105" i="1"/>
  <c r="I106" i="1"/>
  <c r="E106" i="1"/>
  <c r="G106" i="1"/>
  <c r="E107" i="1"/>
  <c r="E9" i="5"/>
  <c r="H27" i="6"/>
  <c r="H28" i="6"/>
  <c r="H32" i="6"/>
  <c r="H30" i="6"/>
  <c r="H23" i="6"/>
  <c r="H29" i="6"/>
  <c r="H25" i="6"/>
  <c r="H35" i="6"/>
  <c r="H31" i="6"/>
  <c r="H34" i="6"/>
  <c r="H26" i="6"/>
  <c r="H24" i="6"/>
  <c r="D117" i="1"/>
  <c r="E117" i="1" s="1"/>
  <c r="G117" i="1" s="1"/>
  <c r="G107" i="1"/>
  <c r="I107" i="1"/>
  <c r="T18" i="5"/>
  <c r="T19" i="5"/>
  <c r="A8" i="7" l="1"/>
  <c r="A9" i="7" s="1"/>
  <c r="G116" i="1"/>
  <c r="E11" i="7"/>
  <c r="I104" i="1"/>
  <c r="G104" i="1"/>
  <c r="E104" i="1"/>
  <c r="E42" i="5"/>
  <c r="E10" i="5"/>
  <c r="K116" i="1"/>
  <c r="K117" i="1"/>
  <c r="I117" i="1"/>
  <c r="I116" i="1"/>
  <c r="A10" i="7" l="1"/>
  <c r="E11" i="5"/>
  <c r="A11" i="7" l="1"/>
  <c r="E12" i="5"/>
  <c r="E13" i="5"/>
  <c r="E14" i="5" s="1"/>
  <c r="E15" i="5" s="1"/>
  <c r="E16" i="5" l="1"/>
  <c r="D6" i="5" l="1"/>
  <c r="E17" i="5"/>
  <c r="D7" i="5" l="1"/>
  <c r="E18" i="5"/>
  <c r="D8" i="5" l="1"/>
  <c r="E19" i="5"/>
  <c r="E26" i="5" s="1"/>
  <c r="E27" i="5" l="1"/>
  <c r="E28" i="5"/>
  <c r="E29" i="5" s="1"/>
  <c r="D9" i="5"/>
  <c r="E30" i="5" l="1"/>
  <c r="E31" i="5" s="1"/>
  <c r="D10" i="5"/>
  <c r="D11" i="5" s="1"/>
  <c r="D12" i="5" s="1"/>
  <c r="E32" i="5" l="1"/>
  <c r="E33" i="5" s="1"/>
  <c r="D13" i="5"/>
  <c r="D14" i="5"/>
  <c r="E34" i="5" l="1"/>
  <c r="D15" i="5"/>
  <c r="E35" i="5" l="1"/>
  <c r="D16" i="5"/>
  <c r="E36" i="5" l="1"/>
  <c r="D17" i="5"/>
  <c r="D18" i="5" s="1"/>
  <c r="E37" i="5" l="1"/>
  <c r="D19" i="5"/>
  <c r="D20" i="5" s="1"/>
  <c r="D21" i="5" s="1"/>
  <c r="D23" i="5" l="1"/>
  <c r="D22" i="5"/>
  <c r="E38" i="5"/>
  <c r="D24" i="5"/>
  <c r="D25" i="5" s="1"/>
  <c r="B162" i="1"/>
  <c r="F162" i="1" s="1"/>
  <c r="C49" i="7"/>
  <c r="C38" i="7"/>
  <c r="C40" i="7"/>
  <c r="C39" i="7"/>
  <c r="C54" i="7"/>
  <c r="C41" i="7"/>
  <c r="C42" i="7"/>
  <c r="C43" i="7"/>
  <c r="C45" i="7"/>
  <c r="C44" i="7"/>
  <c r="C56" i="7"/>
  <c r="C58" i="7"/>
  <c r="C50" i="7"/>
  <c r="C57" i="7"/>
  <c r="C47" i="7"/>
  <c r="C46" i="7"/>
  <c r="C53" i="7"/>
  <c r="C55" i="7"/>
  <c r="C51" i="7"/>
  <c r="C48" i="7"/>
  <c r="C52" i="7"/>
  <c r="D26" i="5" l="1"/>
  <c r="D27" i="5" s="1"/>
  <c r="D28" i="5"/>
  <c r="E39" i="5"/>
  <c r="B144" i="1" s="1"/>
  <c r="D144" i="1" s="1"/>
  <c r="D29" i="5"/>
  <c r="D162" i="1"/>
  <c r="E162" i="1"/>
  <c r="B135" i="1" l="1"/>
  <c r="D135" i="1" s="1"/>
  <c r="G135" i="1" s="1"/>
  <c r="B147" i="1"/>
  <c r="D147" i="1" s="1"/>
  <c r="J147" i="1" s="1"/>
  <c r="B136" i="1"/>
  <c r="D136" i="1" s="1"/>
  <c r="B138" i="1"/>
  <c r="D138" i="1" s="1"/>
  <c r="H138" i="1" s="1"/>
  <c r="L138" i="1" s="1"/>
  <c r="B137" i="1"/>
  <c r="D137" i="1" s="1"/>
  <c r="B139" i="1"/>
  <c r="D139" i="1" s="1"/>
  <c r="E139" i="1" s="1"/>
  <c r="I139" i="1" s="1"/>
  <c r="B140" i="1"/>
  <c r="D140" i="1" s="1"/>
  <c r="B146" i="1"/>
  <c r="D146" i="1" s="1"/>
  <c r="F146" i="1" s="1"/>
  <c r="B142" i="1"/>
  <c r="D142" i="1" s="1"/>
  <c r="E142" i="1" s="1"/>
  <c r="I142" i="1" s="1"/>
  <c r="E144" i="1"/>
  <c r="I144" i="1" s="1"/>
  <c r="H144" i="1"/>
  <c r="L144" i="1" s="1"/>
  <c r="J144" i="1"/>
  <c r="K144" i="1" s="1"/>
  <c r="G144" i="1"/>
  <c r="F144" i="1"/>
  <c r="B141" i="1"/>
  <c r="D141" i="1" s="1"/>
  <c r="B149" i="1"/>
  <c r="D149" i="1" s="1"/>
  <c r="B143" i="1"/>
  <c r="D143" i="1" s="1"/>
  <c r="B152" i="1"/>
  <c r="D152" i="1" s="1"/>
  <c r="B148" i="1"/>
  <c r="D148" i="1" s="1"/>
  <c r="B151" i="1"/>
  <c r="D151" i="1" s="1"/>
  <c r="B145" i="1"/>
  <c r="D145" i="1" s="1"/>
  <c r="B150" i="1"/>
  <c r="D150" i="1" s="1"/>
  <c r="B153" i="1"/>
  <c r="D153" i="1" s="1"/>
  <c r="D30" i="5"/>
  <c r="D31" i="5" s="1"/>
  <c r="E138" i="1" l="1"/>
  <c r="F138" i="1" s="1"/>
  <c r="E135" i="1"/>
  <c r="F135" i="1" s="1"/>
  <c r="H135" i="1"/>
  <c r="J135" i="1"/>
  <c r="K135" i="1" s="1"/>
  <c r="K147" i="1"/>
  <c r="F147" i="1"/>
  <c r="G138" i="1"/>
  <c r="G147" i="1"/>
  <c r="J138" i="1"/>
  <c r="K138" i="1" s="1"/>
  <c r="H147" i="1"/>
  <c r="L147" i="1" s="1"/>
  <c r="E147" i="1"/>
  <c r="I147" i="1" s="1"/>
  <c r="G142" i="1"/>
  <c r="H139" i="1"/>
  <c r="L139" i="1" s="1"/>
  <c r="J136" i="1"/>
  <c r="K136" i="1" s="1"/>
  <c r="H136" i="1"/>
  <c r="L136" i="1" s="1"/>
  <c r="E136" i="1"/>
  <c r="F136" i="1" s="1"/>
  <c r="G136" i="1"/>
  <c r="F139" i="1"/>
  <c r="J139" i="1"/>
  <c r="K139" i="1" s="1"/>
  <c r="J137" i="1"/>
  <c r="K137" i="1" s="1"/>
  <c r="G137" i="1"/>
  <c r="E137" i="1"/>
  <c r="F137" i="1" s="1"/>
  <c r="H137" i="1"/>
  <c r="L137" i="1" s="1"/>
  <c r="G139" i="1"/>
  <c r="E146" i="1"/>
  <c r="I146" i="1" s="1"/>
  <c r="J146" i="1"/>
  <c r="K146" i="1" s="1"/>
  <c r="H146" i="1"/>
  <c r="L146" i="1" s="1"/>
  <c r="F142" i="1"/>
  <c r="G146" i="1"/>
  <c r="H142" i="1"/>
  <c r="L142" i="1" s="1"/>
  <c r="J140" i="1"/>
  <c r="K140" i="1" s="1"/>
  <c r="G140" i="1"/>
  <c r="H140" i="1"/>
  <c r="L140" i="1" s="1"/>
  <c r="E140" i="1"/>
  <c r="F140" i="1" s="1"/>
  <c r="J142" i="1"/>
  <c r="K142" i="1" s="1"/>
  <c r="H153" i="1"/>
  <c r="L153" i="1" s="1"/>
  <c r="J153" i="1"/>
  <c r="E153" i="1"/>
  <c r="I153" i="1" s="1"/>
  <c r="F153" i="1"/>
  <c r="K153" i="1"/>
  <c r="G153" i="1"/>
  <c r="H150" i="1"/>
  <c r="L150" i="1" s="1"/>
  <c r="E150" i="1"/>
  <c r="I150" i="1" s="1"/>
  <c r="G150" i="1"/>
  <c r="K150" i="1"/>
  <c r="F150" i="1"/>
  <c r="J150" i="1"/>
  <c r="J145" i="1"/>
  <c r="K145" i="1" s="1"/>
  <c r="H145" i="1"/>
  <c r="L145" i="1" s="1"/>
  <c r="E145" i="1"/>
  <c r="I145" i="1" s="1"/>
  <c r="G145" i="1"/>
  <c r="F145" i="1"/>
  <c r="E151" i="1"/>
  <c r="I151" i="1" s="1"/>
  <c r="F151" i="1"/>
  <c r="K151" i="1"/>
  <c r="H151" i="1"/>
  <c r="L151" i="1" s="1"/>
  <c r="J151" i="1"/>
  <c r="G151" i="1"/>
  <c r="K149" i="1"/>
  <c r="J149" i="1"/>
  <c r="H149" i="1"/>
  <c r="L149" i="1" s="1"/>
  <c r="F149" i="1"/>
  <c r="G149" i="1"/>
  <c r="E149" i="1"/>
  <c r="I149" i="1" s="1"/>
  <c r="H141" i="1"/>
  <c r="L141" i="1" s="1"/>
  <c r="E141" i="1"/>
  <c r="I141" i="1" s="1"/>
  <c r="J141" i="1"/>
  <c r="K141" i="1" s="1"/>
  <c r="G141" i="1"/>
  <c r="F141" i="1"/>
  <c r="K148" i="1"/>
  <c r="E148" i="1"/>
  <c r="I148" i="1" s="1"/>
  <c r="F148" i="1"/>
  <c r="H148" i="1"/>
  <c r="L148" i="1" s="1"/>
  <c r="G148" i="1"/>
  <c r="J148" i="1"/>
  <c r="H152" i="1"/>
  <c r="L152" i="1" s="1"/>
  <c r="F152" i="1"/>
  <c r="K152" i="1"/>
  <c r="E152" i="1"/>
  <c r="I152" i="1" s="1"/>
  <c r="G152" i="1"/>
  <c r="J152" i="1"/>
  <c r="E143" i="1"/>
  <c r="I143" i="1" s="1"/>
  <c r="G143" i="1"/>
  <c r="H143" i="1"/>
  <c r="L143" i="1" s="1"/>
  <c r="J143" i="1"/>
  <c r="K143" i="1" s="1"/>
  <c r="F143" i="1"/>
  <c r="D32" i="5"/>
  <c r="L135" i="1" l="1"/>
  <c r="I135" i="1"/>
  <c r="I138" i="1"/>
  <c r="I136" i="1"/>
  <c r="I137" i="1"/>
  <c r="I140" i="1"/>
  <c r="D33" i="5"/>
  <c r="D34" i="5" s="1"/>
  <c r="D35" i="5" s="1"/>
  <c r="D36" i="5" s="1"/>
  <c r="D37" i="5" s="1"/>
  <c r="D38" i="5" s="1"/>
  <c r="D39" i="5" s="1"/>
  <c r="D40" i="5" l="1"/>
  <c r="D41" i="5" s="1"/>
  <c r="B163" i="1" s="1"/>
  <c r="B181" i="1" l="1"/>
  <c r="E181" i="1" s="1"/>
  <c r="B190" i="1"/>
  <c r="B186" i="1"/>
  <c r="F186" i="1" s="1"/>
  <c r="B175" i="1"/>
  <c r="F175" i="1" s="1"/>
  <c r="B187" i="1"/>
  <c r="F187" i="1" s="1"/>
  <c r="B173" i="1"/>
  <c r="D173" i="1" s="1"/>
  <c r="B171" i="1"/>
  <c r="E171" i="1" s="1"/>
  <c r="B165" i="1"/>
  <c r="D165" i="1" s="1"/>
  <c r="B167" i="1"/>
  <c r="F167" i="1" s="1"/>
  <c r="B176" i="1"/>
  <c r="E176" i="1" s="1"/>
  <c r="B179" i="1"/>
  <c r="F179" i="1" s="1"/>
  <c r="B168" i="1"/>
  <c r="F168" i="1" s="1"/>
  <c r="B166" i="1"/>
  <c r="F166" i="1" s="1"/>
  <c r="B188" i="1"/>
  <c r="E188" i="1" s="1"/>
  <c r="B180" i="1"/>
  <c r="E180" i="1" s="1"/>
  <c r="B184" i="1"/>
  <c r="E184" i="1" s="1"/>
  <c r="B191" i="1"/>
  <c r="E191" i="1" s="1"/>
  <c r="B164" i="1"/>
  <c r="F164" i="1" s="1"/>
  <c r="B178" i="1"/>
  <c r="F178" i="1" s="1"/>
  <c r="B177" i="1"/>
  <c r="D177" i="1" s="1"/>
  <c r="B185" i="1"/>
  <c r="E185" i="1" s="1"/>
  <c r="B183" i="1"/>
  <c r="F183" i="1" s="1"/>
  <c r="B174" i="1"/>
  <c r="F174" i="1" s="1"/>
  <c r="B182" i="1"/>
  <c r="E182" i="1" s="1"/>
  <c r="B169" i="1"/>
  <c r="E169" i="1" s="1"/>
  <c r="B189" i="1"/>
  <c r="D189" i="1" s="1"/>
  <c r="B172" i="1"/>
  <c r="D172" i="1" s="1"/>
  <c r="B170" i="1"/>
  <c r="F170" i="1" s="1"/>
  <c r="F163" i="1"/>
  <c r="D163" i="1"/>
  <c r="E163" i="1"/>
  <c r="E186" i="1" l="1"/>
  <c r="D186" i="1"/>
  <c r="F180" i="1"/>
  <c r="D167" i="1"/>
  <c r="E172" i="1"/>
  <c r="E166" i="1"/>
  <c r="D171" i="1"/>
  <c r="F181" i="1"/>
  <c r="D180" i="1"/>
  <c r="D185" i="1"/>
  <c r="E167" i="1"/>
  <c r="D191" i="1"/>
  <c r="F176" i="1"/>
  <c r="D184" i="1"/>
  <c r="E178" i="1"/>
  <c r="D176" i="1"/>
  <c r="E183" i="1"/>
  <c r="F184" i="1"/>
  <c r="F169" i="1"/>
  <c r="F165" i="1"/>
  <c r="F185" i="1"/>
  <c r="E174" i="1"/>
  <c r="E189" i="1"/>
  <c r="E164" i="1"/>
  <c r="F182" i="1"/>
  <c r="D168" i="1"/>
  <c r="E173" i="1"/>
  <c r="F172" i="1"/>
  <c r="E170" i="1"/>
  <c r="D174" i="1"/>
  <c r="E187" i="1"/>
  <c r="D175" i="1"/>
  <c r="D179" i="1"/>
  <c r="E179" i="1"/>
  <c r="D187" i="1"/>
  <c r="E175" i="1"/>
  <c r="D183" i="1"/>
  <c r="D170" i="1"/>
  <c r="F188" i="1"/>
  <c r="E168" i="1"/>
  <c r="D181" i="1"/>
  <c r="E177" i="1"/>
  <c r="D188" i="1"/>
  <c r="D182" i="1"/>
  <c r="D169" i="1"/>
  <c r="E165" i="1"/>
  <c r="D166" i="1"/>
  <c r="D164" i="1"/>
  <c r="F191" i="1"/>
  <c r="E190" i="1"/>
  <c r="F190" i="1"/>
  <c r="D190" i="1"/>
  <c r="F189" i="1"/>
  <c r="F171" i="1"/>
  <c r="D178" i="1"/>
  <c r="F177" i="1"/>
  <c r="F17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<sst xmlns="http://schemas.openxmlformats.org/spreadsheetml/2006/main" count="749" uniqueCount="310">
  <si>
    <t>Systems</t>
  </si>
  <si>
    <r>
      <t>Total cores</t>
    </r>
    <r>
      <rPr>
        <sz val="12"/>
        <color rgb="FFFF0000"/>
        <rFont val="Verdana"/>
        <family val="2"/>
      </rPr>
      <t>*</t>
    </r>
  </si>
  <si>
    <t>Sockets (CPU's)</t>
  </si>
  <si>
    <t>*This is the total amount of cores that will be licensed. Systems*Sockets(CPU)*Cores</t>
  </si>
  <si>
    <t>CPU cores</t>
  </si>
  <si>
    <t>vSan</t>
  </si>
  <si>
    <t>Yes</t>
  </si>
  <si>
    <t>NSX</t>
  </si>
  <si>
    <t>No</t>
  </si>
  <si>
    <t>vSphere 8</t>
  </si>
  <si>
    <t>Tanzu</t>
  </si>
  <si>
    <t>For Questions</t>
  </si>
  <si>
    <t>NL</t>
  </si>
  <si>
    <t>Currency</t>
  </si>
  <si>
    <t>EUR</t>
  </si>
  <si>
    <t>NOTE:  vSphere 7 is end of general support  in October 2nd 2025</t>
  </si>
  <si>
    <t>VMware vSphere Standard (VVS)</t>
  </si>
  <si>
    <r>
      <rPr>
        <b/>
        <sz val="12"/>
        <color rgb="FFFFFFFF"/>
        <rFont val="Verdana"/>
        <family val="2"/>
      </rPr>
      <t>VMware</t>
    </r>
    <r>
      <rPr>
        <sz val="12"/>
        <color rgb="FFFFFFFF"/>
        <rFont val="Verdana"/>
        <family val="2"/>
      </rPr>
      <t xml:space="preserve"> </t>
    </r>
    <r>
      <rPr>
        <b/>
        <sz val="12"/>
        <color rgb="FFFFFFFF"/>
        <rFont val="Verdana"/>
        <family val="2"/>
      </rPr>
      <t>vSphere Enterprise Plus</t>
    </r>
    <r>
      <rPr>
        <sz val="12"/>
        <color rgb="FFFFFFFF"/>
        <rFont val="Verdana"/>
        <family val="2"/>
      </rPr>
      <t xml:space="preserve"> </t>
    </r>
    <r>
      <rPr>
        <b/>
        <sz val="12"/>
        <color rgb="FFFFFFFF"/>
        <rFont val="Verdana"/>
        <family val="2"/>
      </rPr>
      <t>(VVE)</t>
    </r>
  </si>
  <si>
    <r>
      <rPr>
        <b/>
        <sz val="12"/>
        <color rgb="FFFFFFFF"/>
        <rFont val="Verdana"/>
        <family val="2"/>
      </rPr>
      <t>VMware</t>
    </r>
    <r>
      <rPr>
        <sz val="12"/>
        <color rgb="FFFFFFFF"/>
        <rFont val="Verdana"/>
        <family val="2"/>
      </rPr>
      <t xml:space="preserve"> </t>
    </r>
    <r>
      <rPr>
        <b/>
        <sz val="12"/>
        <color rgb="FFFFFFFF"/>
        <rFont val="Verdana"/>
        <family val="2"/>
      </rPr>
      <t>vSphere</t>
    </r>
    <r>
      <rPr>
        <sz val="12"/>
        <color rgb="FFFFFFFF"/>
        <rFont val="Verdana"/>
        <family val="2"/>
      </rPr>
      <t xml:space="preserve"> </t>
    </r>
    <r>
      <rPr>
        <b/>
        <sz val="12"/>
        <color rgb="FFFFFFFF"/>
        <rFont val="Verdana"/>
        <family val="2"/>
      </rPr>
      <t>Foundation</t>
    </r>
    <r>
      <rPr>
        <sz val="12"/>
        <color rgb="FFFFFFFF"/>
        <rFont val="Verdana"/>
        <family val="2"/>
      </rPr>
      <t xml:space="preserve"> </t>
    </r>
    <r>
      <rPr>
        <b/>
        <sz val="12"/>
        <color rgb="FFFFFFFF"/>
        <rFont val="Verdana"/>
        <family val="2"/>
      </rPr>
      <t>(VVF)</t>
    </r>
  </si>
  <si>
    <r>
      <rPr>
        <b/>
        <sz val="12"/>
        <color rgb="FFFFFFFF"/>
        <rFont val="Verdana"/>
        <family val="2"/>
      </rPr>
      <t>VMware</t>
    </r>
    <r>
      <rPr>
        <sz val="12"/>
        <color rgb="FFFFFFFF"/>
        <rFont val="Verdana"/>
        <family val="2"/>
      </rPr>
      <t xml:space="preserve"> </t>
    </r>
    <r>
      <rPr>
        <b/>
        <sz val="12"/>
        <color rgb="FFFFFFFF"/>
        <rFont val="Verdana"/>
        <family val="2"/>
      </rPr>
      <t>Cloud</t>
    </r>
    <r>
      <rPr>
        <sz val="12"/>
        <color rgb="FFFFFFFF"/>
        <rFont val="Verdana"/>
        <family val="2"/>
      </rPr>
      <t xml:space="preserve"> </t>
    </r>
    <r>
      <rPr>
        <b/>
        <sz val="12"/>
        <color rgb="FFFFFFFF"/>
        <rFont val="Verdana"/>
        <family val="2"/>
      </rPr>
      <t>Foundation</t>
    </r>
    <r>
      <rPr>
        <sz val="12"/>
        <color rgb="FFFFFFFF"/>
        <rFont val="Verdana"/>
        <family val="2"/>
      </rPr>
      <t xml:space="preserve"> </t>
    </r>
    <r>
      <rPr>
        <b/>
        <sz val="12"/>
        <color rgb="FFFFFFFF"/>
        <rFont val="Verdana"/>
        <family val="2"/>
      </rPr>
      <t>(VCF)</t>
    </r>
  </si>
  <si>
    <r>
      <rPr>
        <sz val="12"/>
        <color rgb="FFFFFFFF"/>
        <rFont val="Verdana"/>
        <family val="2"/>
      </rPr>
      <t>SDDC Manager</t>
    </r>
  </si>
  <si>
    <r>
      <rPr>
        <sz val="12"/>
        <color rgb="FFFFFFFF"/>
        <rFont val="Verdana"/>
        <family val="2"/>
      </rPr>
      <t>Y</t>
    </r>
  </si>
  <si>
    <r>
      <rPr>
        <sz val="12"/>
        <color rgb="FFFFFFFF"/>
        <rFont val="Verdana"/>
        <family val="2"/>
      </rPr>
      <t>vSphere</t>
    </r>
  </si>
  <si>
    <r>
      <rPr>
        <sz val="12"/>
        <color rgb="FFFFFFFF"/>
        <rFont val="Verdana"/>
        <family val="2"/>
      </rPr>
      <t>Standard</t>
    </r>
  </si>
  <si>
    <r>
      <rPr>
        <sz val="12"/>
        <color rgb="FFFFFFFF"/>
        <rFont val="Verdana"/>
        <family val="2"/>
      </rPr>
      <t>Enterprise Plus</t>
    </r>
  </si>
  <si>
    <r>
      <rPr>
        <sz val="12"/>
        <rFont val="Verdana"/>
        <family val="2"/>
      </rPr>
      <t>vSphere ESXi</t>
    </r>
  </si>
  <si>
    <t>Y</t>
  </si>
  <si>
    <r>
      <rPr>
        <sz val="12"/>
        <rFont val="Verdana"/>
        <family val="2"/>
      </rPr>
      <t>vSphere with Tanzu (incl. TKG Runtime)</t>
    </r>
  </si>
  <si>
    <t>NA</t>
  </si>
  <si>
    <r>
      <rPr>
        <sz val="12"/>
        <rFont val="Verdana"/>
        <family val="2"/>
      </rPr>
      <t>vCenter Server</t>
    </r>
  </si>
  <si>
    <t>Y
(Standard)</t>
  </si>
  <si>
    <r>
      <rPr>
        <sz val="12"/>
        <rFont val="Verdana"/>
        <family val="2"/>
      </rPr>
      <t>Y
(Standard)</t>
    </r>
  </si>
  <si>
    <r>
      <rPr>
        <sz val="12"/>
        <color rgb="FFFFFFFF"/>
        <rFont val="Verdana"/>
        <family val="2"/>
      </rPr>
      <t>vSAN</t>
    </r>
  </si>
  <si>
    <r>
      <rPr>
        <sz val="12"/>
        <rFont val="Verdana"/>
        <family val="2"/>
      </rPr>
      <t>vSAN Enterprise</t>
    </r>
  </si>
  <si>
    <t>Y
(250 GiB per CPU Core)</t>
  </si>
  <si>
    <r>
      <rPr>
        <sz val="12"/>
        <rFont val="Verdana"/>
        <family val="2"/>
      </rPr>
      <t>Y
(1TiB per CPU Core)</t>
    </r>
  </si>
  <si>
    <r>
      <rPr>
        <sz val="12"/>
        <color rgb="FFFFFFFF"/>
        <rFont val="Verdana"/>
        <family val="2"/>
      </rPr>
      <t>NSX Enterprise Plus</t>
    </r>
  </si>
  <si>
    <r>
      <rPr>
        <sz val="12"/>
        <color rgb="FFFFFFFF"/>
        <rFont val="Verdana"/>
        <family val="2"/>
      </rPr>
      <t>Aria Suite</t>
    </r>
  </si>
  <si>
    <r>
      <rPr>
        <sz val="12"/>
        <color rgb="FFFFFFFF"/>
        <rFont val="Verdana"/>
        <family val="2"/>
      </rPr>
      <t>Y
(Standard)</t>
    </r>
  </si>
  <si>
    <r>
      <rPr>
        <sz val="12"/>
        <color rgb="FFFFFFFF"/>
        <rFont val="Verdana"/>
        <family val="2"/>
      </rPr>
      <t>Y
(Enterprise)</t>
    </r>
  </si>
  <si>
    <t>Aria Suite Lifecycle</t>
  </si>
  <si>
    <r>
      <rPr>
        <sz val="12"/>
        <rFont val="Verdana"/>
        <family val="2"/>
      </rPr>
      <t>Aria Automation</t>
    </r>
  </si>
  <si>
    <r>
      <rPr>
        <sz val="12"/>
        <rFont val="Verdana"/>
        <family val="2"/>
      </rPr>
      <t>Aria Operations</t>
    </r>
  </si>
  <si>
    <t>Aria Operations for logs</t>
  </si>
  <si>
    <r>
      <rPr>
        <sz val="12"/>
        <color rgb="FFFFFFFF"/>
        <rFont val="Verdana"/>
        <family val="2"/>
      </rPr>
      <t>Aria Operations for Networks Enterprise</t>
    </r>
  </si>
  <si>
    <r>
      <rPr>
        <sz val="12"/>
        <color rgb="FFFFFFFF"/>
        <rFont val="Verdana"/>
        <family val="2"/>
      </rPr>
      <t>HCX Enterprise</t>
    </r>
  </si>
  <si>
    <t>Most asked feature comparison</t>
  </si>
  <si>
    <t>vSphere Configuration Profiles</t>
  </si>
  <si>
    <t>Distributed Switch™</t>
  </si>
  <si>
    <t>Per-VM Enhanced vMotion Compatibility</t>
  </si>
  <si>
    <t>Distributed Resource Scheduler™ (DRS)</t>
  </si>
  <si>
    <t>Storage DRS™</t>
  </si>
  <si>
    <t xml:space="preserve">NVIDIA GRID Virtual GPU (vGPU) </t>
  </si>
  <si>
    <t>Proactive High Availability (HA)</t>
  </si>
  <si>
    <t>Dynamic DirectPath IO</t>
  </si>
  <si>
    <t xml:space="preserve">Fault Tolerance </t>
  </si>
  <si>
    <t>2-vCPU</t>
  </si>
  <si>
    <t>8-vCPU</t>
  </si>
  <si>
    <t>vSphere Replication™</t>
  </si>
  <si>
    <t xml:space="preserve">vCenter High Availability (vCenter HA) </t>
  </si>
  <si>
    <t>For a detailed list of features:</t>
  </si>
  <si>
    <t>VMware product comparison</t>
  </si>
  <si>
    <r>
      <rPr>
        <sz val="12"/>
        <rFont val="Verdana"/>
        <family val="2"/>
      </rPr>
      <t>Optional components</t>
    </r>
  </si>
  <si>
    <t>Vmware Live Recovery</t>
  </si>
  <si>
    <t>VMware Live Cyber Recovery</t>
  </si>
  <si>
    <t>Optional</t>
  </si>
  <si>
    <t>VMware Live Site Recovery</t>
  </si>
  <si>
    <t>vSAN Enterprise</t>
  </si>
  <si>
    <r>
      <t xml:space="preserve">VMware Avi Load Balancer
</t>
    </r>
    <r>
      <rPr>
        <sz val="10"/>
        <color rgb="FFFF0000"/>
        <rFont val="Verdana"/>
        <family val="2"/>
      </rPr>
      <t>(See tab AVI for more info)</t>
    </r>
  </si>
  <si>
    <t>VMware Tanzu</t>
  </si>
  <si>
    <t>Tanzu Platform</t>
  </si>
  <si>
    <t>Managed</t>
  </si>
  <si>
    <r>
      <t xml:space="preserve">Tanzu Data Services
</t>
    </r>
    <r>
      <rPr>
        <sz val="9"/>
        <rFont val="Verdana"/>
        <family val="2"/>
      </rPr>
      <t>(Greenplum/Postgres/MySQL/Redis/RabbitMQ/GemFire)</t>
    </r>
  </si>
  <si>
    <t>Tanzu Spring Essentials</t>
  </si>
  <si>
    <t>Tanzu Kubernetes Grid Integration</t>
  </si>
  <si>
    <t>EOL</t>
  </si>
  <si>
    <t>Tanzu Cloudhealth Enterprise</t>
  </si>
  <si>
    <t>Tanzu Application Catalog</t>
  </si>
  <si>
    <t>Tanzu GuardRails</t>
  </si>
  <si>
    <t>Vmware Firewall</t>
  </si>
  <si>
    <t>VMware vDefend Firewall</t>
  </si>
  <si>
    <t>VMware vDefend Firewall + Advanced Threat Prevention</t>
  </si>
  <si>
    <t>Support &amp;  Services</t>
  </si>
  <si>
    <r>
      <rPr>
        <sz val="12"/>
        <rFont val="Verdana"/>
        <family val="2"/>
      </rPr>
      <t>Production Support Service</t>
    </r>
  </si>
  <si>
    <t>Select Support</t>
  </si>
  <si>
    <t>Activation &amp; Upgrade Service</t>
  </si>
  <si>
    <t>Support account manager</t>
  </si>
  <si>
    <t>Support accountmanager VEL (SAM)</t>
  </si>
  <si>
    <t>Support accountmanager Tanzu (SAM)</t>
  </si>
  <si>
    <t>Support accountmanager VCF (SAM)</t>
  </si>
  <si>
    <t>Dedicated Technical</t>
  </si>
  <si>
    <t>Support Engineer for vSAN</t>
  </si>
  <si>
    <t>Support Engineer for vSphere</t>
  </si>
  <si>
    <t>Support Engineer for vSphere Replication</t>
  </si>
  <si>
    <t>Support Engineer for Site Recovery Manager</t>
  </si>
  <si>
    <t>Support Engineer for Aria Automation</t>
  </si>
  <si>
    <t>Support Engineer for Aria Operations</t>
  </si>
  <si>
    <t>Support Engineer for HCX</t>
  </si>
  <si>
    <t>Support Engineer for NSX</t>
  </si>
  <si>
    <t>Support Engineer for SDDC Manager</t>
  </si>
  <si>
    <t>Support Engineer for TKG for vSphere</t>
  </si>
  <si>
    <t>Support Engineer for VMware Cloud Director</t>
  </si>
  <si>
    <t>Technical Adoption manager</t>
  </si>
  <si>
    <t>Technical Adoption Manager for VCF</t>
  </si>
  <si>
    <t>Technical Adoption Manager for ANS</t>
  </si>
  <si>
    <t>Technical Adoption Manager for VEL</t>
  </si>
  <si>
    <t>Technical Adoption Manager for TNZ</t>
  </si>
  <si>
    <t>License</t>
  </si>
  <si>
    <t>1 Year</t>
  </si>
  <si>
    <t>3 Year</t>
  </si>
  <si>
    <t>5 Year</t>
  </si>
  <si>
    <t>Price per Core</t>
  </si>
  <si>
    <t>Total</t>
  </si>
  <si>
    <t>VMware vSphere Enterprise Plus (VVE)</t>
  </si>
  <si>
    <t>VMware vSphere Foundation (VVF)</t>
  </si>
  <si>
    <t>VMware Cloud Foundation (VCF)</t>
  </si>
  <si>
    <t xml:space="preserve">Tib Included </t>
  </si>
  <si>
    <t>Tib to be licensed</t>
  </si>
  <si>
    <t>Price per TiB</t>
  </si>
  <si>
    <t>* This is the discount in price compared to the price per year</t>
  </si>
  <si>
    <t>Add-on Pricing</t>
  </si>
  <si>
    <t xml:space="preserve">This table is dynamically created based on the Add-on selected.  </t>
  </si>
  <si>
    <t xml:space="preserve">Add-on </t>
  </si>
  <si>
    <t>Period</t>
  </si>
  <si>
    <t>Unit price</t>
  </si>
  <si>
    <t>KIT LIST  SKUs and numbers</t>
  </si>
  <si>
    <t>This table is dynamically created based on the Add-on selected and will only show vSphere editions that are valid</t>
  </si>
  <si>
    <t>Product</t>
  </si>
  <si>
    <t>Amount</t>
  </si>
  <si>
    <t>SKU</t>
  </si>
  <si>
    <t>Multi year SKU</t>
  </si>
  <si>
    <t>cores that customer needs (firewall cores)</t>
  </si>
  <si>
    <t xml:space="preserve">● When deploying VMware Firewall as a Distributed Firewall, Customer must purchase one (1) Core of VMware Firewall to deploy one (1) Core of Distributed Firewall. </t>
  </si>
  <si>
    <t>1 op 1</t>
  </si>
  <si>
    <t xml:space="preserve">● When deploying VMware Firewall as a Gateway Firewall, Customer must purchase four (4) Cores of VMware Firewall to deploy one (1) Core of Gateway Firewall. </t>
  </si>
  <si>
    <t>4:1 (4x core firewall op 1 core Gateway)</t>
  </si>
  <si>
    <t>● When deploying VMware Firewall for Container Security with Antrea, Customer must purchase one (1) Core of VMware Firewall to deploy one (1) Core of Container Security with Antrea.</t>
  </si>
  <si>
    <t>1:1 (1 vcore op 1 core/container)</t>
  </si>
  <si>
    <t xml:space="preserve">● When deploying VMware Firewall as an agent for Bare Metal workloads, Customer must purchase one (1) Core of VMware Firewall for every four (4) Cores of Bare Metal. </t>
  </si>
  <si>
    <t>1:4 (1vcore  op 4 pcore)</t>
  </si>
  <si>
    <t>● When deploying VMware Firewall on a DPU, in addition to the entitlement required to deploy as a Distributed Firewall or Gateway Firewall, the Customer must purchase four (4) Cores of VMware Firewall to secure one (1) DPU. (zie hier uitleg over DPU)</t>
  </si>
  <si>
    <t>4:1 ( 4vcore op 1 DPU)</t>
  </si>
  <si>
    <t>1DPU=4 License
2DPU=8 License
4 DPU=16 licenses</t>
  </si>
  <si>
    <t>Based on number of DPU's in cluster</t>
  </si>
  <si>
    <t>Go back to main</t>
  </si>
  <si>
    <t>Release notes. This tab will inform you what changes has been made between versions. This to keep track on changes made in the licensing program of Broadcom and inform you of these changes.</t>
  </si>
  <si>
    <t>Version</t>
  </si>
  <si>
    <t>Release date</t>
  </si>
  <si>
    <t>Public version</t>
  </si>
  <si>
    <t>Changes</t>
  </si>
  <si>
    <t xml:space="preserve">v15 </t>
  </si>
  <si>
    <t>Pricing in dollars</t>
  </si>
  <si>
    <t>Added the add-on price calculations</t>
  </si>
  <si>
    <t>Added sku list that will only show possible options</t>
  </si>
  <si>
    <t>Added the option to switch between EUR, Dollar and GBP</t>
  </si>
  <si>
    <t>Added the option to switch contact detail between NL and BE</t>
  </si>
  <si>
    <t>fixed some minor bugs</t>
  </si>
  <si>
    <t>License program update
  -VMware firewall is now called VMware vDefend</t>
  </si>
  <si>
    <t>v16</t>
  </si>
  <si>
    <t>Changes to the tables</t>
  </si>
  <si>
    <t>Updates to the formula in euro/dollar</t>
  </si>
  <si>
    <t>V17</t>
  </si>
  <si>
    <t xml:space="preserve">Added release note tab with all changes to this sheet for tracking </t>
  </si>
  <si>
    <t xml:space="preserve">License Program update
  - VMware essentials are now prices per core and not per bundel.  Minimal of 96 and a max of 192 cores. </t>
  </si>
  <si>
    <t>Updated the sheet to accommodate the new essentials calculations</t>
  </si>
  <si>
    <t>V20</t>
  </si>
  <si>
    <t>13/09/204</t>
  </si>
  <si>
    <t>Tanzu SKU update's</t>
  </si>
  <si>
    <t>Essentials bundels are priced per core but with 96 core bundels. 2 bundels max</t>
  </si>
  <si>
    <t>Added Romania contact details</t>
  </si>
  <si>
    <t>VMware NSX Advanced load Balancer is now renamed to VMware Avi Load Balancer</t>
  </si>
  <si>
    <t>Updated DOL - EUR and DOL -GBP</t>
  </si>
  <si>
    <t>V22</t>
  </si>
  <si>
    <t>New sku's</t>
  </si>
  <si>
    <t>VMware Essentials is now EOL and removed</t>
  </si>
  <si>
    <t>VMware Enterprise Plus is now added</t>
  </si>
  <si>
    <t>Multiyear pricing is now included</t>
  </si>
  <si>
    <t>vSAN trail license included in VVF included 250GB per core in stead of 100GB per core</t>
  </si>
  <si>
    <t>SKU listing now includes the multi year sku when applicable</t>
  </si>
  <si>
    <t>Add most asked features to the main tab for easy shifting</t>
  </si>
  <si>
    <t>New pricing based on the 11-11-2024 price sheet</t>
  </si>
  <si>
    <t>V23</t>
  </si>
  <si>
    <t>Dollar to Euro exchange rate adjustment</t>
  </si>
  <si>
    <t>Vragen welke gebruikt kunnen worden voor seizing: (Dit is puur om te berekenen hoeveel service engines er nodig zijn om het verkeer af te kunnen handelen)</t>
  </si>
  <si>
    <t xml:space="preserve">Main questions </t>
  </si>
  <si>
    <t>The numbers are the average/max currently in use</t>
  </si>
  <si>
    <t>Number of current vips/pools/realservers</t>
  </si>
  <si>
    <t>How much L4 throughput(Gbps, average/max)</t>
  </si>
  <si>
    <t>How much L7 throughput(Gbps, average/max)</t>
  </si>
  <si>
    <t>How much Non-SSL throughput(Gbps, average/max)</t>
  </si>
  <si>
    <t>How much SSL throughput(Gbps, average/max)</t>
  </si>
  <si>
    <t>SSL transactions (handshakes) per second. Is it RSA or EC. If RSA, is it 2k or 4k (average/max)</t>
  </si>
  <si>
    <t>SSL bulk encrypt/decrypt throughout</t>
  </si>
  <si>
    <t>TCP connections per second (and whether this includes the SSL connections)((average/max)</t>
  </si>
  <si>
    <t>L7 HTTP requests per second</t>
  </si>
  <si>
    <t>Additional questions</t>
  </si>
  <si>
    <t>Is WAF needed</t>
  </si>
  <si>
    <t>Is GSLB needed</t>
  </si>
  <si>
    <t>Amount of datacenters. (Active-Active, or only DR)</t>
  </si>
  <si>
    <t>Do we have to have isolation between prod/pre-prod/dev/test</t>
  </si>
  <si>
    <r>
      <rPr>
        <b/>
        <sz val="12"/>
        <color theme="1"/>
        <rFont val="Times New Roman"/>
        <family val="1"/>
      </rPr>
      <t>Vuistregel</t>
    </r>
    <r>
      <rPr>
        <sz val="12"/>
        <color theme="1"/>
        <rFont val="Times New Roman"/>
        <family val="1"/>
      </rPr>
      <t xml:space="preserve">
Voor elke 80 cores in het cluster 1 Service unit.  Dus met 400 Cores,5 Service units. Echter dit is een vuistregel omdat het afhankelijk is van alle bovenstaande  vragen en van het design.  Je kan er bijvoorbeeld voor kiezen om 3 SE's in 1 group in Active-Active te hebben met 2 vCpu per SE. Dit komt in totaal op 6 SU.
De virtuals service worden dan verdeeld over de 3 SE's.  
Het is dus belangrijk om een design te hebben voordat we kunnen prijzen. Hoe meer informatie des te beter. Hebben ze bijvoorbeeld al hardware of software die nu dienst doen als loadbalancer waarvan de statistieken gebruikt kunnen worden. Denk aan een F5 loadbalancer.
Note: Bij het installeren heeft de klant een trail licentie met alles erop en aan. Deze is geldig voor 30dagen en bestaat uit 20 Service Units (SU).</t>
    </r>
  </si>
  <si>
    <t>vSPhere pricings and SKU's</t>
  </si>
  <si>
    <t>Valid option?</t>
  </si>
  <si>
    <t>How many</t>
  </si>
  <si>
    <t>Duration</t>
  </si>
  <si>
    <t>Curreny</t>
  </si>
  <si>
    <t>Year</t>
  </si>
  <si>
    <t>VCF-VSP-STD-8</t>
  </si>
  <si>
    <t>VMware vSphere Enterprise (VVE)</t>
  </si>
  <si>
    <t>VCF-VSP-ENT-PLUS-1Y</t>
  </si>
  <si>
    <t>VCF-VSP-ENT-PLUS</t>
  </si>
  <si>
    <t>VCF-VSP-FND-1Y</t>
  </si>
  <si>
    <t>VCF-VSP-FND-8</t>
  </si>
  <si>
    <t>VCF-CLD-FND-5</t>
  </si>
  <si>
    <t>vSAN</t>
  </si>
  <si>
    <t>VCF-VSAN-8</t>
  </si>
  <si>
    <t>Valid4 add-on</t>
  </si>
  <si>
    <t>Name of add-on</t>
  </si>
  <si>
    <t>Selected</t>
  </si>
  <si>
    <t>Price</t>
  </si>
  <si>
    <t>VMware Live Cyber Recovery (VM)</t>
  </si>
  <si>
    <t>VCF-VLR-PVM</t>
  </si>
  <si>
    <t>VMware Live Cyber Recovery (STOR)</t>
  </si>
  <si>
    <t>VCF-VLR-PCAP-EMEA</t>
  </si>
  <si>
    <t>VMware Live Recovery (SRM)</t>
  </si>
  <si>
    <t>VMware Avi Load Balancer</t>
  </si>
  <si>
    <t>ANS-VMW-ALB</t>
  </si>
  <si>
    <t>TNZ-PLAT</t>
  </si>
  <si>
    <t>Minimum of 50</t>
  </si>
  <si>
    <t>Tanzu Platform - Self-managed</t>
  </si>
  <si>
    <t>TNZ-PLAT-SM</t>
  </si>
  <si>
    <t>TNZ-SPRING</t>
  </si>
  <si>
    <t>Minimum of 100</t>
  </si>
  <si>
    <t>Tanzu Spring Essentials - Self-Managed</t>
  </si>
  <si>
    <t>TNZ-SPRING-SM</t>
  </si>
  <si>
    <t>Tanzu Kubernetes Grid Integration (TKGi)</t>
  </si>
  <si>
    <t>TNZ-TKGI</t>
  </si>
  <si>
    <t>Tanzu Kubernetes Grid Integration - Self-Managed (TKGi)</t>
  </si>
  <si>
    <t>Tanzu Kubernetes Grid for management cluster (TKGm)</t>
  </si>
  <si>
    <t>TNZ-UN-TKG-M</t>
  </si>
  <si>
    <t>Tanzu Data Suite</t>
  </si>
  <si>
    <t>TNZ-DATA-SUITE</t>
  </si>
  <si>
    <t>ANS-VMW-FW-B</t>
  </si>
  <si>
    <t>VMware vDefend Firewall with Advanced Threat Prevention</t>
  </si>
  <si>
    <t>ANS-FW-ATP-B</t>
  </si>
  <si>
    <t>Support accountmanager (SAM)</t>
  </si>
  <si>
    <t>SAM-VCF</t>
  </si>
  <si>
    <t>Dedicated TSE for vSAN</t>
  </si>
  <si>
    <t>DTSE-VSAN</t>
  </si>
  <si>
    <t>On Request</t>
  </si>
  <si>
    <t>Dedicated TSE for vSphere</t>
  </si>
  <si>
    <t>DTSE-VSPH</t>
  </si>
  <si>
    <t>Dedicated TSE for vSphere replication</t>
  </si>
  <si>
    <t>DTSE-VSR</t>
  </si>
  <si>
    <t>TAM-TNZ</t>
  </si>
  <si>
    <t>TNZ-GR</t>
  </si>
  <si>
    <t>Minimum of 1</t>
  </si>
  <si>
    <t>TNZ-APP-CAT</t>
  </si>
  <si>
    <t>Minimum of 10</t>
  </si>
  <si>
    <t>VMware Tanzu CloudHealth</t>
  </si>
  <si>
    <t>TNZ-CLD-HLTH</t>
  </si>
  <si>
    <t>Dedicated TSE for Site Recovery Manager</t>
  </si>
  <si>
    <t>DTSE-SRM</t>
  </si>
  <si>
    <t>Dedicated TSE for Aria Automation</t>
  </si>
  <si>
    <t>DTSE-AUTO</t>
  </si>
  <si>
    <t>Dedicated TSE for Aria Operations</t>
  </si>
  <si>
    <t>DTSE-OPER</t>
  </si>
  <si>
    <t>Dedicated TSE for HCX</t>
  </si>
  <si>
    <t>DTSE-HCX</t>
  </si>
  <si>
    <t>Dedicated TSE for NSX</t>
  </si>
  <si>
    <t>DTSE-NSX</t>
  </si>
  <si>
    <t>Dedicated TSE for SDDC Manager</t>
  </si>
  <si>
    <t>DTSE-SDDC</t>
  </si>
  <si>
    <t>Dedicated TSE for TKG for vSphere</t>
  </si>
  <si>
    <t>DTSE-TKG</t>
  </si>
  <si>
    <t>Dedicated TSE for VMware Cloud Director</t>
  </si>
  <si>
    <t>DTSE-VCD</t>
  </si>
  <si>
    <t>SAM-SDE</t>
  </si>
  <si>
    <t>SAM-TNZ</t>
  </si>
  <si>
    <t>TAM-VCF</t>
  </si>
  <si>
    <t>TAM-SDE</t>
  </si>
  <si>
    <t>TAM-ANS</t>
  </si>
  <si>
    <t>Contact details</t>
  </si>
  <si>
    <t>Currency exchange</t>
  </si>
  <si>
    <t>Country</t>
  </si>
  <si>
    <t xml:space="preserve">Email </t>
  </si>
  <si>
    <t>Phone</t>
  </si>
  <si>
    <t xml:space="preserve">Currency </t>
  </si>
  <si>
    <t>Rate</t>
  </si>
  <si>
    <t>vmware.nl@tdsynnex.com</t>
  </si>
  <si>
    <t>+31881334014</t>
  </si>
  <si>
    <t>USD</t>
  </si>
  <si>
    <t>RO</t>
  </si>
  <si>
    <t>mariana.crull@tdsynnex.com</t>
  </si>
  <si>
    <t>+40722737135</t>
  </si>
  <si>
    <t>BE&amp;L</t>
  </si>
  <si>
    <t>tdas_software.be@tdsynnex.com</t>
  </si>
  <si>
    <t>+3225838310</t>
  </si>
  <si>
    <t>GBP</t>
  </si>
  <si>
    <t>Contact Dropdown list</t>
  </si>
  <si>
    <t>Currency Dropdown  list</t>
  </si>
  <si>
    <t>Enterprise Plus</t>
  </si>
  <si>
    <t>V24</t>
  </si>
  <si>
    <t>Update dollar euro exchange rate</t>
  </si>
  <si>
    <t>V25</t>
  </si>
  <si>
    <t>vSAN calculatie is updated.  vSAN capacity is geen trail meer.</t>
  </si>
  <si>
    <t>Each Vmware vSphere Foundation Core licenses includes 250GiB license. This is only available for vSphere 8.02u2b and higher. If vSphere 7 or lower is used the trial capacity is not available.  All the vSAN capacity needs to be licensed.</t>
  </si>
  <si>
    <r>
      <rPr>
        <b/>
        <sz val="12"/>
        <color theme="1"/>
        <rFont val="Verdana"/>
        <family val="2"/>
      </rPr>
      <t xml:space="preserve">vSphere Foundation with vSAN Capacity Table
</t>
    </r>
    <r>
      <rPr>
        <sz val="12"/>
        <color theme="1"/>
        <rFont val="Verdana"/>
        <family val="2"/>
      </rPr>
      <t xml:space="preserve">
vSphere Foundation with vSAN Capacity Licensing Notes:
- vSphere Foundation provides up to 250 GiB of vSAN capacity for each VVF core deployed in a vSAN cluster.
- vSAN capacity is tied to the vSphere Foundation core and cannot be reallocated across the environment.
- If customers exceed the amount of vSAN capacity in the vSAN cluster, they must license the total remain number of TiBs claimed in the vSAN cluster.
- vSAN capacity can be calculated as follows: Number of vSphere Foundation core licenses in each ESXi host deployed in the vSAN cluster x 250 GiB.</t>
    </r>
  </si>
  <si>
    <t>Version 25</t>
  </si>
  <si>
    <r>
      <t xml:space="preserve">Note: This sheet is created as a support tool and is only meant for guidance.  For a real quote submit a request to the TD SYNNEX VMware team. 
</t>
    </r>
    <r>
      <rPr>
        <b/>
        <sz val="11"/>
        <rFont val="Verdana"/>
        <family val="2"/>
      </rPr>
      <t>Join the TD SYNNEX community! Scan the QR below of follow the link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</si>
</sst>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164" formatCode="_-[$€-2]\ * #,##0.00_-;\-[$€-2]\ * #,##0.00_-;_-[$€-2]\ * &quot;-&quot;??_-;_-@_-"/>
    <numFmt numFmtId="165" formatCode="_ [$€-2]\ * #,##0.00_ ;_ [$€-2]\ * \-#,##0.00_ ;_ [$€-2]\ * &quot;-&quot;??_ ;_ @_ "/>
    <numFmt numFmtId="166" formatCode="0.0%"/>
    <numFmt numFmtId="167" formatCode="[$€-2]\ #,##0.00"/>
    <numFmt numFmtId="168" formatCode="yyyy\-mm\-dd"/>
    <numFmt numFmtId="169" formatCode="_-[$$-409]* #,##0.00_ ;_-[$$-409]* \-#,##0.00\ ;_-[$$-409]* &quot;-&quot;??_ ;_-@_ "/>
    <numFmt numFmtId="170" formatCode="_-[$£-809]* #,##0.0000_-;\-[$£-809]* #,##0.0000_-;_-[$£-809]* &quot;-&quot;??_-;_-@_-"/>
    <numFmt numFmtId="171" formatCode="_-[$$-409]* #,##0.0000_ ;_-[$$-409]* \-#,##0.0000\ ;_-[$$-409]* &quot;-&quot;??_ ;_-@_ "/>
    <numFmt numFmtId="172" formatCode="_-[$€-2]\ * #,##0.0000_-;\-[$€-2]\ * #,##0.0000_-;_-[$€-2]\ * &quot;-&quot;??_-;_-@_-"/>
  </numFmts>
  <fonts count="28" x14ac:knownFonts="1">
    <font>
      <sz val="11"/>
      <color theme="1"/>
      <name val="Aptos Narrow"/>
      <family val="2"/>
      <scheme val="minor"/>
    </font>
    <font>
      <sz val="10"/>
      <color rgb="FF000000"/>
      <name val="Times New Roman"/>
      <family val="1"/>
    </font>
    <font>
      <sz val="12"/>
      <color theme="1"/>
      <name val="Times New Roman"/>
      <family val="1"/>
    </font>
    <font>
      <sz val="11"/>
      <color theme="1"/>
      <name val="Aptos Narrow"/>
      <family val="2"/>
      <scheme val="minor"/>
    </font>
    <font>
      <u/>
      <sz val="11"/>
      <color theme="10"/>
      <name val="Aptos Narrow"/>
      <family val="2"/>
      <scheme val="minor"/>
    </font>
    <font>
      <b/>
      <sz val="12"/>
      <color theme="1"/>
      <name val="Times New Roman"/>
      <family val="1"/>
    </font>
    <font>
      <sz val="11"/>
      <color theme="1"/>
      <name val="Times New Roman"/>
      <family val="1"/>
    </font>
    <font>
      <sz val="11"/>
      <color rgb="FF000000"/>
      <name val="Verdana"/>
      <family val="2"/>
    </font>
    <font>
      <sz val="8"/>
      <name val="Aptos Narrow"/>
      <family val="2"/>
      <scheme val="minor"/>
    </font>
    <font>
      <sz val="12"/>
      <color theme="1"/>
      <name val="Verdana"/>
      <family val="2"/>
    </font>
    <font>
      <sz val="12"/>
      <color rgb="FFFF0000"/>
      <name val="Verdana"/>
      <family val="2"/>
    </font>
    <font>
      <u/>
      <sz val="11"/>
      <color theme="10"/>
      <name val="Verdana"/>
      <family val="2"/>
    </font>
    <font>
      <b/>
      <sz val="12"/>
      <color rgb="FFFF0000"/>
      <name val="Verdana"/>
      <family val="2"/>
    </font>
    <font>
      <b/>
      <sz val="12"/>
      <color theme="1"/>
      <name val="Verdana"/>
      <family val="2"/>
    </font>
    <font>
      <sz val="11"/>
      <color theme="1"/>
      <name val="Verdana"/>
      <family val="2"/>
    </font>
    <font>
      <sz val="12"/>
      <color rgb="FF000000"/>
      <name val="Verdana"/>
      <family val="2"/>
    </font>
    <font>
      <sz val="12"/>
      <color rgb="FFFFFFFF"/>
      <name val="Verdana"/>
      <family val="2"/>
    </font>
    <font>
      <b/>
      <sz val="12"/>
      <color rgb="FFFFFFFF"/>
      <name val="Verdana"/>
      <family val="2"/>
    </font>
    <font>
      <sz val="12"/>
      <name val="Verdana"/>
      <family val="2"/>
    </font>
    <font>
      <sz val="11"/>
      <color theme="10"/>
      <name val="Verdana"/>
      <family val="2"/>
    </font>
    <font>
      <sz val="22"/>
      <color theme="0"/>
      <name val="Verdana"/>
      <family val="2"/>
    </font>
    <font>
      <sz val="10"/>
      <color rgb="FFFF0000"/>
      <name val="Verdana"/>
      <family val="2"/>
    </font>
    <font>
      <sz val="11"/>
      <name val="Verdana"/>
      <family val="2"/>
    </font>
    <font>
      <sz val="9"/>
      <name val="Verdana"/>
      <family val="2"/>
    </font>
    <font>
      <b/>
      <sz val="12"/>
      <color theme="0"/>
      <name val="Aptos Narrow"/>
      <family val="2"/>
      <scheme val="minor"/>
    </font>
    <font>
      <b/>
      <sz val="16"/>
      <color theme="0"/>
      <name val="Aptos Narrow"/>
      <family val="2"/>
      <scheme val="minor"/>
    </font>
    <font>
      <u/>
      <sz val="12"/>
      <color rgb="FFFF0000"/>
      <name val="Verdana"/>
      <family val="2"/>
    </font>
    <font>
      <b/>
      <sz val="11"/>
      <name val="Verdana"/>
      <family val="2"/>
    </font>
  </fonts>
  <fills count="22">
    <fill>
      <patternFill patternType="none"/>
    </fill>
    <fill>
      <patternFill patternType="gray125"/>
    </fill>
    <fill>
      <patternFill patternType="solid">
        <fgColor rgb="FF003031"/>
      </patternFill>
    </fill>
    <fill>
      <patternFill patternType="solid">
        <fgColor rgb="FF005758"/>
      </patternFill>
    </fill>
    <fill>
      <patternFill patternType="solid">
        <fgColor rgb="FFD9D8D7"/>
      </patternFill>
    </fill>
    <fill>
      <patternFill patternType="solid">
        <fgColor rgb="FF08BED5"/>
      </patternFill>
    </fill>
    <fill>
      <patternFill patternType="solid">
        <fgColor theme="0"/>
        <bgColor indexed="64"/>
      </patternFill>
    </fill>
    <fill>
      <patternFill patternType="solid">
        <fgColor rgb="FFFFC000"/>
        <bgColor indexed="64"/>
      </patternFill>
    </fill>
    <fill>
      <patternFill patternType="solid">
        <fgColor theme="6" tint="0.79998168889431442"/>
        <bgColor indexed="64"/>
      </patternFill>
    </fill>
    <fill>
      <patternFill patternType="solid">
        <fgColor rgb="FF00206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89999084444715716"/>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2"/>
        <bgColor indexed="64"/>
      </patternFill>
    </fill>
    <fill>
      <patternFill patternType="solid">
        <fgColor rgb="FFFF0000"/>
        <bgColor indexed="64"/>
      </patternFill>
    </fill>
  </fills>
  <borders count="79">
    <border>
      <left/>
      <right/>
      <top/>
      <bottom/>
      <diagonal/>
    </border>
    <border>
      <left style="thin">
        <color rgb="FF000000"/>
      </left>
      <right style="thin">
        <color rgb="FF000000"/>
      </right>
      <top style="thin">
        <color rgb="FF000000"/>
      </top>
      <bottom style="thin">
        <color rgb="FFFFFFFF"/>
      </bottom>
      <diagonal/>
    </border>
    <border>
      <left style="thin">
        <color rgb="FF000000"/>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FFFFFF"/>
      </top>
      <bottom style="thin">
        <color rgb="FFFFFFFF"/>
      </bottom>
      <diagonal/>
    </border>
    <border>
      <left style="thin">
        <color rgb="FF000000"/>
      </left>
      <right/>
      <top style="thin">
        <color rgb="FFFFFFFF"/>
      </top>
      <bottom style="thin">
        <color rgb="FFFFFFFF"/>
      </bottom>
      <diagonal/>
    </border>
    <border>
      <left/>
      <right style="thin">
        <color rgb="FF000000"/>
      </right>
      <top style="thin">
        <color rgb="FFFFFFFF"/>
      </top>
      <bottom style="thin">
        <color rgb="FFFFFFFF"/>
      </bottom>
      <diagonal/>
    </border>
    <border>
      <left style="thin">
        <color rgb="FF000000"/>
      </left>
      <right style="thin">
        <color rgb="FF000000"/>
      </right>
      <top style="thin">
        <color rgb="FFFFFFFF"/>
      </top>
      <bottom/>
      <diagonal/>
    </border>
    <border>
      <left style="thin">
        <color rgb="FF000000"/>
      </left>
      <right/>
      <top style="thin">
        <color rgb="FFFFFFFF"/>
      </top>
      <bottom/>
      <diagonal/>
    </border>
    <border>
      <left/>
      <right style="thin">
        <color rgb="FF000000"/>
      </right>
      <top style="thin">
        <color rgb="FFFFFFFF"/>
      </top>
      <bottom/>
      <diagonal/>
    </border>
    <border>
      <left style="thin">
        <color rgb="FF000000"/>
      </left>
      <right style="thin">
        <color rgb="FF000000"/>
      </right>
      <top style="thin">
        <color rgb="FFFFFFFF"/>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FFFFFF"/>
      </bottom>
      <diagonal/>
    </border>
    <border>
      <left/>
      <right style="thin">
        <color rgb="FF000000"/>
      </right>
      <top/>
      <bottom style="thin">
        <color rgb="FFFFFFFF"/>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A3A3A3"/>
      </left>
      <right/>
      <top style="medium">
        <color rgb="FFA3A3A3"/>
      </top>
      <bottom style="medium">
        <color rgb="FFA3A3A3"/>
      </bottom>
      <diagonal/>
    </border>
    <border>
      <left style="thin">
        <color rgb="FF000000"/>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indexed="64"/>
      </right>
      <top style="thin">
        <color auto="1"/>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style="thin">
        <color rgb="FF000000"/>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1" fillId="0" borderId="0"/>
    <xf numFmtId="9" fontId="3" fillId="0" borderId="0" applyFont="0" applyFill="0" applyBorder="0" applyAlignment="0" applyProtection="0"/>
    <xf numFmtId="0" fontId="4" fillId="0" borderId="0" applyNumberFormat="0" applyFill="0" applyBorder="0" applyAlignment="0" applyProtection="0"/>
    <xf numFmtId="44" fontId="3" fillId="0" borderId="0" applyFont="0" applyFill="0" applyBorder="0" applyAlignment="0" applyProtection="0"/>
  </cellStyleXfs>
  <cellXfs count="447">
    <xf numFmtId="0" fontId="0" fillId="0" borderId="0" xfId="0"/>
    <xf numFmtId="0" fontId="0" fillId="6" borderId="0" xfId="0" applyFill="1"/>
    <xf numFmtId="0" fontId="2" fillId="6" borderId="0" xfId="0" applyFont="1" applyFill="1" applyAlignment="1">
      <alignment wrapText="1"/>
    </xf>
    <xf numFmtId="0" fontId="6" fillId="6" borderId="0" xfId="0" applyFont="1" applyFill="1"/>
    <xf numFmtId="0" fontId="2" fillId="0" borderId="0" xfId="0" applyFont="1" applyAlignment="1">
      <alignment vertical="center"/>
    </xf>
    <xf numFmtId="0" fontId="5" fillId="0" borderId="0" xfId="0" applyFont="1" applyAlignment="1">
      <alignment vertical="center"/>
    </xf>
    <xf numFmtId="0" fontId="2" fillId="0" borderId="47" xfId="0" applyFont="1" applyBorder="1" applyAlignment="1">
      <alignment vertical="center" wrapText="1"/>
    </xf>
    <xf numFmtId="0" fontId="6" fillId="6" borderId="40" xfId="0" applyFont="1" applyFill="1" applyBorder="1"/>
    <xf numFmtId="0" fontId="7" fillId="6" borderId="0" xfId="0" applyFont="1" applyFill="1"/>
    <xf numFmtId="0" fontId="9" fillId="6" borderId="0" xfId="0" applyFont="1" applyFill="1" applyProtection="1">
      <protection hidden="1"/>
    </xf>
    <xf numFmtId="14" fontId="9" fillId="6" borderId="0" xfId="0" applyNumberFormat="1" applyFont="1" applyFill="1" applyProtection="1">
      <protection hidden="1"/>
    </xf>
    <xf numFmtId="0" fontId="9" fillId="8" borderId="33" xfId="0" applyFont="1" applyFill="1" applyBorder="1" applyProtection="1">
      <protection hidden="1"/>
    </xf>
    <xf numFmtId="0" fontId="9" fillId="7" borderId="36" xfId="0" applyFont="1" applyFill="1" applyBorder="1" applyAlignment="1" applyProtection="1">
      <alignment horizontal="center"/>
      <protection locked="0" hidden="1"/>
    </xf>
    <xf numFmtId="0" fontId="9" fillId="8" borderId="46" xfId="0" applyFont="1" applyFill="1" applyBorder="1" applyProtection="1">
      <protection hidden="1"/>
    </xf>
    <xf numFmtId="0" fontId="9" fillId="12" borderId="45" xfId="0" applyFont="1" applyFill="1" applyBorder="1" applyProtection="1">
      <protection hidden="1"/>
    </xf>
    <xf numFmtId="0" fontId="11" fillId="6" borderId="0" xfId="3" quotePrefix="1" applyFont="1" applyFill="1" applyProtection="1">
      <protection hidden="1"/>
    </xf>
    <xf numFmtId="0" fontId="9" fillId="8" borderId="34" xfId="0" applyFont="1" applyFill="1" applyBorder="1" applyProtection="1">
      <protection hidden="1"/>
    </xf>
    <xf numFmtId="0" fontId="9" fillId="7" borderId="37" xfId="0" applyFont="1" applyFill="1" applyBorder="1" applyAlignment="1" applyProtection="1">
      <alignment horizontal="center"/>
      <protection locked="0" hidden="1"/>
    </xf>
    <xf numFmtId="0" fontId="11" fillId="6" borderId="0" xfId="3" applyFont="1" applyFill="1" applyProtection="1">
      <protection hidden="1"/>
    </xf>
    <xf numFmtId="0" fontId="9" fillId="7" borderId="37" xfId="0" applyFont="1" applyFill="1" applyBorder="1" applyAlignment="1" applyProtection="1">
      <alignment horizontal="center" vertical="center"/>
      <protection locked="0" hidden="1"/>
    </xf>
    <xf numFmtId="0" fontId="9" fillId="6" borderId="0" xfId="0" applyFont="1" applyFill="1" applyAlignment="1" applyProtection="1">
      <alignment horizontal="left" vertical="top"/>
      <protection hidden="1"/>
    </xf>
    <xf numFmtId="0" fontId="9" fillId="6" borderId="0" xfId="0" applyFont="1" applyFill="1" applyProtection="1">
      <protection locked="0" hidden="1"/>
    </xf>
    <xf numFmtId="0" fontId="9" fillId="6" borderId="0" xfId="0" applyFont="1" applyFill="1" applyAlignment="1" applyProtection="1">
      <alignment horizontal="right"/>
      <protection locked="0" hidden="1"/>
    </xf>
    <xf numFmtId="0" fontId="12" fillId="6" borderId="0" xfId="0" applyFont="1" applyFill="1" applyAlignment="1" applyProtection="1">
      <alignment horizontal="center" wrapText="1"/>
      <protection hidden="1"/>
    </xf>
    <xf numFmtId="0" fontId="9" fillId="8" borderId="35" xfId="0" applyFont="1" applyFill="1" applyBorder="1" applyProtection="1">
      <protection hidden="1"/>
    </xf>
    <xf numFmtId="0" fontId="9" fillId="7" borderId="38" xfId="0" applyFont="1" applyFill="1" applyBorder="1" applyAlignment="1" applyProtection="1">
      <alignment horizontal="center" vertical="center"/>
      <protection locked="0" hidden="1"/>
    </xf>
    <xf numFmtId="0" fontId="10" fillId="6" borderId="0" xfId="0" applyFont="1" applyFill="1" applyProtection="1">
      <protection hidden="1"/>
    </xf>
    <xf numFmtId="0" fontId="9" fillId="7" borderId="40" xfId="0" applyFont="1" applyFill="1" applyBorder="1" applyAlignment="1" applyProtection="1">
      <alignment horizontal="center"/>
      <protection locked="0" hidden="1"/>
    </xf>
    <xf numFmtId="0" fontId="9" fillId="15" borderId="46" xfId="0" applyFont="1" applyFill="1" applyBorder="1" applyProtection="1">
      <protection hidden="1"/>
    </xf>
    <xf numFmtId="0" fontId="14" fillId="7" borderId="45" xfId="0" applyFont="1" applyFill="1" applyBorder="1" applyAlignment="1" applyProtection="1">
      <alignment horizontal="center"/>
      <protection locked="0" hidden="1"/>
    </xf>
    <xf numFmtId="0" fontId="14" fillId="0" borderId="22" xfId="0" applyFont="1" applyBorder="1" applyProtection="1">
      <protection hidden="1"/>
    </xf>
    <xf numFmtId="0" fontId="14" fillId="6" borderId="0" xfId="0" applyFont="1" applyFill="1"/>
    <xf numFmtId="0" fontId="9" fillId="6" borderId="19" xfId="0" applyFont="1" applyFill="1" applyBorder="1" applyProtection="1">
      <protection hidden="1"/>
    </xf>
    <xf numFmtId="0" fontId="16" fillId="2" borderId="1" xfId="1" applyFont="1" applyFill="1" applyBorder="1" applyAlignment="1" applyProtection="1">
      <alignment horizontal="left" vertical="top" wrapText="1" indent="1"/>
      <protection hidden="1"/>
    </xf>
    <xf numFmtId="0" fontId="9" fillId="0" borderId="0" xfId="0" applyFont="1" applyProtection="1">
      <protection hidden="1"/>
    </xf>
    <xf numFmtId="0" fontId="15" fillId="3" borderId="4" xfId="1" applyFont="1" applyFill="1" applyBorder="1" applyAlignment="1" applyProtection="1">
      <alignment horizontal="left" wrapText="1"/>
      <protection hidden="1"/>
    </xf>
    <xf numFmtId="0" fontId="18" fillId="3" borderId="4" xfId="1" applyFont="1" applyFill="1" applyBorder="1" applyAlignment="1" applyProtection="1">
      <alignment horizontal="center" vertical="top" wrapText="1"/>
      <protection hidden="1"/>
    </xf>
    <xf numFmtId="0" fontId="15" fillId="3" borderId="10" xfId="1" applyFont="1" applyFill="1" applyBorder="1" applyAlignment="1" applyProtection="1">
      <alignment horizontal="center" vertical="top" wrapText="1"/>
      <protection hidden="1"/>
    </xf>
    <xf numFmtId="0" fontId="18" fillId="3" borderId="10" xfId="1" applyFont="1" applyFill="1" applyBorder="1" applyAlignment="1" applyProtection="1">
      <alignment horizontal="center" vertical="top" wrapText="1"/>
      <protection hidden="1"/>
    </xf>
    <xf numFmtId="0" fontId="15" fillId="0" borderId="11" xfId="1" applyFont="1" applyBorder="1" applyAlignment="1" applyProtection="1">
      <alignment horizontal="left" vertical="top" wrapText="1"/>
      <protection hidden="1"/>
    </xf>
    <xf numFmtId="0" fontId="15" fillId="4" borderId="12" xfId="1" applyFont="1" applyFill="1" applyBorder="1" applyAlignment="1" applyProtection="1">
      <alignment horizontal="left" vertical="top" wrapText="1"/>
      <protection hidden="1"/>
    </xf>
    <xf numFmtId="0" fontId="18" fillId="4" borderId="12" xfId="1" applyFont="1" applyFill="1" applyBorder="1" applyAlignment="1" applyProtection="1">
      <alignment horizontal="center" vertical="center" wrapText="1"/>
      <protection hidden="1"/>
    </xf>
    <xf numFmtId="0" fontId="18" fillId="4" borderId="12" xfId="1" applyFont="1" applyFill="1" applyBorder="1" applyAlignment="1" applyProtection="1">
      <alignment horizontal="center" vertical="top" wrapText="1"/>
      <protection hidden="1"/>
    </xf>
    <xf numFmtId="0" fontId="15" fillId="0" borderId="11" xfId="1" applyFont="1" applyBorder="1" applyAlignment="1" applyProtection="1">
      <alignment horizontal="center" vertical="center" wrapText="1"/>
      <protection hidden="1"/>
    </xf>
    <xf numFmtId="0" fontId="18" fillId="0" borderId="11" xfId="1" applyFont="1" applyBorder="1" applyAlignment="1" applyProtection="1">
      <alignment horizontal="center" vertical="center" wrapText="1"/>
      <protection hidden="1"/>
    </xf>
    <xf numFmtId="0" fontId="18" fillId="0" borderId="11" xfId="1" applyFont="1" applyBorder="1" applyAlignment="1" applyProtection="1">
      <alignment horizontal="center" vertical="top" wrapText="1"/>
      <protection hidden="1"/>
    </xf>
    <xf numFmtId="0" fontId="15" fillId="4" borderId="13" xfId="1" applyFont="1" applyFill="1" applyBorder="1" applyAlignment="1" applyProtection="1">
      <alignment horizontal="left" vertical="center" wrapText="1"/>
      <protection hidden="1"/>
    </xf>
    <xf numFmtId="0" fontId="18" fillId="4" borderId="13" xfId="1" applyFont="1" applyFill="1" applyBorder="1" applyAlignment="1" applyProtection="1">
      <alignment horizontal="center" vertical="top" wrapText="1"/>
      <protection hidden="1"/>
    </xf>
    <xf numFmtId="0" fontId="15" fillId="4" borderId="13" xfId="1" applyFont="1" applyFill="1" applyBorder="1" applyAlignment="1" applyProtection="1">
      <alignment horizontal="center" vertical="top" wrapText="1"/>
      <protection hidden="1"/>
    </xf>
    <xf numFmtId="0" fontId="15" fillId="3" borderId="16" xfId="1" applyFont="1" applyFill="1" applyBorder="1" applyAlignment="1" applyProtection="1">
      <alignment horizontal="left" wrapText="1"/>
      <protection hidden="1"/>
    </xf>
    <xf numFmtId="0" fontId="18" fillId="3" borderId="16" xfId="1" applyFont="1" applyFill="1" applyBorder="1" applyAlignment="1" applyProtection="1">
      <alignment horizontal="center" vertical="top" wrapText="1"/>
      <protection hidden="1"/>
    </xf>
    <xf numFmtId="0" fontId="15" fillId="0" borderId="11" xfId="1" applyFont="1" applyBorder="1" applyAlignment="1" applyProtection="1">
      <alignment horizontal="left" vertical="center" wrapText="1"/>
      <protection hidden="1"/>
    </xf>
    <xf numFmtId="0" fontId="15" fillId="4" borderId="16" xfId="1" applyFont="1" applyFill="1" applyBorder="1" applyAlignment="1" applyProtection="1">
      <alignment horizontal="left" vertical="center" wrapText="1"/>
      <protection hidden="1"/>
    </xf>
    <xf numFmtId="0" fontId="18" fillId="4" borderId="16" xfId="1" applyFont="1" applyFill="1" applyBorder="1" applyAlignment="1" applyProtection="1">
      <alignment horizontal="center" vertical="top" wrapText="1"/>
      <protection hidden="1"/>
    </xf>
    <xf numFmtId="0" fontId="15" fillId="4" borderId="16" xfId="1" applyFont="1" applyFill="1" applyBorder="1" applyAlignment="1" applyProtection="1">
      <alignment horizontal="center" vertical="top" wrapText="1"/>
      <protection hidden="1"/>
    </xf>
    <xf numFmtId="0" fontId="15" fillId="3" borderId="1" xfId="1" applyFont="1" applyFill="1" applyBorder="1" applyAlignment="1" applyProtection="1">
      <alignment horizontal="left" vertical="center" wrapText="1"/>
      <protection hidden="1"/>
    </xf>
    <xf numFmtId="0" fontId="18" fillId="3" borderId="1" xfId="1" applyFont="1" applyFill="1" applyBorder="1" applyAlignment="1" applyProtection="1">
      <alignment horizontal="center" vertical="top" wrapText="1"/>
      <protection hidden="1"/>
    </xf>
    <xf numFmtId="0" fontId="15" fillId="3" borderId="10" xfId="1" applyFont="1" applyFill="1" applyBorder="1" applyAlignment="1" applyProtection="1">
      <alignment horizontal="left" vertical="center" wrapText="1"/>
      <protection hidden="1"/>
    </xf>
    <xf numFmtId="0" fontId="18" fillId="4" borderId="12" xfId="1" applyFont="1" applyFill="1" applyBorder="1" applyAlignment="1" applyProtection="1">
      <alignment horizontal="left" vertical="top" wrapText="1"/>
      <protection hidden="1"/>
    </xf>
    <xf numFmtId="0" fontId="15" fillId="4" borderId="11" xfId="1" applyFont="1" applyFill="1" applyBorder="1" applyAlignment="1" applyProtection="1">
      <alignment horizontal="left" vertical="top" wrapText="1"/>
      <protection hidden="1"/>
    </xf>
    <xf numFmtId="0" fontId="18" fillId="4" borderId="11" xfId="1" applyFont="1" applyFill="1" applyBorder="1" applyAlignment="1" applyProtection="1">
      <alignment horizontal="center" vertical="top" wrapText="1"/>
      <protection hidden="1"/>
    </xf>
    <xf numFmtId="0" fontId="18" fillId="0" borderId="13" xfId="1" applyFont="1" applyBorder="1" applyAlignment="1" applyProtection="1">
      <alignment horizontal="left" vertical="top" wrapText="1"/>
      <protection hidden="1"/>
    </xf>
    <xf numFmtId="0" fontId="18" fillId="0" borderId="13" xfId="1" applyFont="1" applyBorder="1" applyAlignment="1" applyProtection="1">
      <alignment horizontal="center" vertical="top" wrapText="1"/>
      <protection hidden="1"/>
    </xf>
    <xf numFmtId="0" fontId="15" fillId="3" borderId="7" xfId="1" applyFont="1" applyFill="1" applyBorder="1" applyAlignment="1" applyProtection="1">
      <alignment horizontal="left" wrapText="1"/>
      <protection hidden="1"/>
    </xf>
    <xf numFmtId="0" fontId="18" fillId="3" borderId="7" xfId="1" applyFont="1" applyFill="1" applyBorder="1" applyAlignment="1" applyProtection="1">
      <alignment horizontal="center" vertical="top" wrapText="1"/>
      <protection hidden="1"/>
    </xf>
    <xf numFmtId="0" fontId="15" fillId="6" borderId="0" xfId="1" applyFont="1" applyFill="1" applyAlignment="1" applyProtection="1">
      <alignment horizontal="left" wrapText="1"/>
      <protection hidden="1"/>
    </xf>
    <xf numFmtId="0" fontId="15" fillId="6" borderId="15" xfId="1" applyFont="1" applyFill="1" applyBorder="1" applyAlignment="1" applyProtection="1">
      <alignment horizontal="left" wrapText="1"/>
      <protection hidden="1"/>
    </xf>
    <xf numFmtId="0" fontId="15" fillId="5" borderId="40" xfId="1" applyFont="1" applyFill="1" applyBorder="1" applyAlignment="1" applyProtection="1">
      <alignment horizontal="left" wrapText="1"/>
      <protection hidden="1"/>
    </xf>
    <xf numFmtId="0" fontId="9" fillId="6" borderId="20" xfId="0" applyFont="1" applyFill="1" applyBorder="1" applyAlignment="1" applyProtection="1">
      <alignment vertical="center"/>
      <protection hidden="1"/>
    </xf>
    <xf numFmtId="0" fontId="9" fillId="6" borderId="0" xfId="0" applyFont="1" applyFill="1" applyAlignment="1" applyProtection="1">
      <alignment vertical="center"/>
      <protection locked="0" hidden="1"/>
    </xf>
    <xf numFmtId="0" fontId="18" fillId="6" borderId="0" xfId="0" applyFont="1" applyFill="1" applyAlignment="1" applyProtection="1">
      <alignment horizontal="left" vertical="center" wrapText="1"/>
      <protection hidden="1"/>
    </xf>
    <xf numFmtId="0" fontId="9" fillId="6" borderId="0" xfId="0" applyFont="1" applyFill="1" applyAlignment="1" applyProtection="1">
      <alignment horizontal="right" vertical="center"/>
      <protection locked="0" hidden="1"/>
    </xf>
    <xf numFmtId="0" fontId="18" fillId="0" borderId="23" xfId="1" applyFont="1" applyBorder="1" applyAlignment="1" applyProtection="1">
      <alignment horizontal="center" vertical="center" wrapText="1"/>
      <protection hidden="1"/>
    </xf>
    <xf numFmtId="0" fontId="18" fillId="0" borderId="22" xfId="1" applyFont="1" applyBorder="1" applyAlignment="1" applyProtection="1">
      <alignment horizontal="center" vertical="center" wrapText="1"/>
      <protection hidden="1"/>
    </xf>
    <xf numFmtId="0" fontId="9" fillId="6" borderId="0" xfId="0" applyFont="1" applyFill="1" applyAlignment="1" applyProtection="1">
      <alignment wrapText="1"/>
      <protection hidden="1"/>
    </xf>
    <xf numFmtId="0" fontId="18" fillId="4" borderId="14" xfId="1" applyFont="1" applyFill="1" applyBorder="1" applyAlignment="1" applyProtection="1">
      <alignment horizontal="left" vertical="center" wrapText="1"/>
      <protection hidden="1"/>
    </xf>
    <xf numFmtId="0" fontId="18" fillId="4" borderId="20" xfId="1" applyFont="1" applyFill="1" applyBorder="1" applyAlignment="1" applyProtection="1">
      <alignment horizontal="center" vertical="center" wrapText="1"/>
      <protection hidden="1"/>
    </xf>
    <xf numFmtId="0" fontId="18" fillId="4" borderId="21" xfId="1" applyFont="1" applyFill="1" applyBorder="1" applyAlignment="1" applyProtection="1">
      <alignment horizontal="center" vertical="center" wrapText="1"/>
      <protection hidden="1"/>
    </xf>
    <xf numFmtId="0" fontId="19" fillId="6" borderId="0" xfId="3" applyFont="1" applyFill="1" applyAlignment="1" applyProtection="1">
      <alignment horizontal="center"/>
      <protection hidden="1"/>
    </xf>
    <xf numFmtId="0" fontId="18" fillId="0" borderId="20" xfId="1" applyFont="1" applyBorder="1" applyAlignment="1" applyProtection="1">
      <alignment horizontal="center" vertical="center" wrapText="1"/>
      <protection hidden="1"/>
    </xf>
    <xf numFmtId="0" fontId="18" fillId="0" borderId="21" xfId="1" applyFont="1" applyBorder="1" applyAlignment="1" applyProtection="1">
      <alignment horizontal="center" vertical="center" wrapText="1"/>
      <protection hidden="1"/>
    </xf>
    <xf numFmtId="0" fontId="10" fillId="6" borderId="0" xfId="0" applyFont="1" applyFill="1" applyAlignment="1" applyProtection="1">
      <alignment wrapText="1"/>
      <protection hidden="1"/>
    </xf>
    <xf numFmtId="0" fontId="15" fillId="4" borderId="44" xfId="1" applyFont="1" applyFill="1" applyBorder="1" applyAlignment="1" applyProtection="1">
      <alignment horizontal="left" vertical="top" wrapText="1"/>
      <protection hidden="1"/>
    </xf>
    <xf numFmtId="0" fontId="18" fillId="4" borderId="11" xfId="1" applyFont="1" applyFill="1" applyBorder="1" applyAlignment="1" applyProtection="1">
      <alignment horizontal="center" vertical="center" wrapText="1"/>
      <protection hidden="1"/>
    </xf>
    <xf numFmtId="0" fontId="9" fillId="0" borderId="44" xfId="0" applyFont="1" applyBorder="1" applyAlignment="1" applyProtection="1">
      <alignment vertical="top"/>
      <protection hidden="1"/>
    </xf>
    <xf numFmtId="0" fontId="18" fillId="11" borderId="11" xfId="1" applyFont="1" applyFill="1" applyBorder="1" applyAlignment="1" applyProtection="1">
      <alignment horizontal="center" vertical="center" wrapText="1"/>
      <protection hidden="1"/>
    </xf>
    <xf numFmtId="0" fontId="18" fillId="6" borderId="44" xfId="1" applyFont="1" applyFill="1" applyBorder="1" applyAlignment="1" applyProtection="1">
      <alignment horizontal="left" vertical="top" wrapText="1"/>
      <protection hidden="1"/>
    </xf>
    <xf numFmtId="0" fontId="18" fillId="6" borderId="11" xfId="1" applyFont="1" applyFill="1" applyBorder="1" applyAlignment="1" applyProtection="1">
      <alignment horizontal="center" vertical="center" wrapText="1"/>
      <protection hidden="1"/>
    </xf>
    <xf numFmtId="0" fontId="18" fillId="6" borderId="14" xfId="1" applyFont="1" applyFill="1" applyBorder="1" applyAlignment="1" applyProtection="1">
      <alignment horizontal="center" vertical="center" wrapText="1"/>
      <protection hidden="1"/>
    </xf>
    <xf numFmtId="0" fontId="18" fillId="6" borderId="21" xfId="1" applyFont="1" applyFill="1" applyBorder="1" applyAlignment="1" applyProtection="1">
      <alignment horizontal="center" vertical="center"/>
      <protection locked="0" hidden="1"/>
    </xf>
    <xf numFmtId="0" fontId="9" fillId="11" borderId="19" xfId="0" applyFont="1" applyFill="1" applyBorder="1" applyAlignment="1" applyProtection="1">
      <alignment horizontal="center" vertical="center"/>
      <protection locked="0" hidden="1"/>
    </xf>
    <xf numFmtId="0" fontId="20" fillId="6" borderId="0" xfId="0" applyFont="1" applyFill="1" applyAlignment="1" applyProtection="1">
      <alignment horizontal="center"/>
      <protection hidden="1"/>
    </xf>
    <xf numFmtId="0" fontId="9" fillId="6" borderId="29" xfId="0" applyFont="1" applyFill="1" applyBorder="1" applyAlignment="1" applyProtection="1">
      <alignment horizontal="center" vertical="center" wrapText="1"/>
      <protection hidden="1"/>
    </xf>
    <xf numFmtId="0" fontId="9" fillId="6" borderId="30" xfId="0" applyFont="1" applyFill="1" applyBorder="1" applyAlignment="1" applyProtection="1">
      <alignment horizontal="center" vertical="center" wrapText="1"/>
      <protection hidden="1"/>
    </xf>
    <xf numFmtId="0" fontId="9" fillId="6" borderId="40" xfId="0" applyFont="1" applyFill="1" applyBorder="1" applyAlignment="1" applyProtection="1">
      <alignment horizontal="center" vertical="center" wrapText="1"/>
      <protection hidden="1"/>
    </xf>
    <xf numFmtId="0" fontId="9" fillId="0" borderId="0" xfId="0" applyFont="1" applyAlignment="1" applyProtection="1">
      <alignment wrapText="1"/>
      <protection hidden="1"/>
    </xf>
    <xf numFmtId="164" fontId="9" fillId="6" borderId="40" xfId="0" applyNumberFormat="1" applyFont="1" applyFill="1" applyBorder="1" applyAlignment="1" applyProtection="1">
      <alignment horizontal="center"/>
      <protection hidden="1"/>
    </xf>
    <xf numFmtId="164" fontId="9" fillId="6" borderId="29" xfId="0" applyNumberFormat="1" applyFont="1" applyFill="1" applyBorder="1" applyAlignment="1" applyProtection="1">
      <alignment horizontal="center"/>
      <protection hidden="1"/>
    </xf>
    <xf numFmtId="164" fontId="9" fillId="6" borderId="31" xfId="0" applyNumberFormat="1" applyFont="1" applyFill="1" applyBorder="1" applyAlignment="1" applyProtection="1">
      <alignment horizontal="center"/>
      <protection hidden="1"/>
    </xf>
    <xf numFmtId="164" fontId="9" fillId="6" borderId="43" xfId="0" applyNumberFormat="1" applyFont="1" applyFill="1" applyBorder="1" applyAlignment="1" applyProtection="1">
      <alignment horizontal="center"/>
      <protection hidden="1"/>
    </xf>
    <xf numFmtId="0" fontId="21" fillId="6" borderId="0" xfId="0" applyFont="1" applyFill="1" applyProtection="1">
      <protection hidden="1"/>
    </xf>
    <xf numFmtId="164" fontId="9" fillId="6" borderId="0" xfId="0" applyNumberFormat="1" applyFont="1" applyFill="1" applyProtection="1">
      <protection hidden="1"/>
    </xf>
    <xf numFmtId="9" fontId="9" fillId="6" borderId="0" xfId="2" applyFont="1" applyFill="1" applyProtection="1">
      <protection hidden="1"/>
    </xf>
    <xf numFmtId="0" fontId="9" fillId="6" borderId="0" xfId="0" applyFont="1" applyFill="1" applyAlignment="1" applyProtection="1">
      <alignment horizontal="center" vertical="center"/>
      <protection hidden="1"/>
    </xf>
    <xf numFmtId="164" fontId="9" fillId="6" borderId="0" xfId="0" applyNumberFormat="1" applyFont="1" applyFill="1" applyAlignment="1" applyProtection="1">
      <alignment vertical="center"/>
      <protection hidden="1"/>
    </xf>
    <xf numFmtId="9" fontId="9" fillId="6" borderId="0" xfId="2" applyFont="1" applyFill="1" applyBorder="1" applyProtection="1">
      <protection hidden="1"/>
    </xf>
    <xf numFmtId="0" fontId="9" fillId="6" borderId="40" xfId="0" applyFont="1" applyFill="1" applyBorder="1" applyAlignment="1" applyProtection="1">
      <alignment horizontal="center"/>
      <protection hidden="1"/>
    </xf>
    <xf numFmtId="0" fontId="9" fillId="6" borderId="39" xfId="0" applyFont="1" applyFill="1" applyBorder="1" applyAlignment="1" applyProtection="1">
      <alignment horizontal="center" vertical="center"/>
      <protection hidden="1"/>
    </xf>
    <xf numFmtId="0" fontId="9" fillId="6" borderId="0" xfId="0" applyFont="1" applyFill="1" applyAlignment="1" applyProtection="1">
      <alignment horizontal="left"/>
      <protection hidden="1"/>
    </xf>
    <xf numFmtId="0" fontId="9" fillId="6" borderId="0" xfId="0" applyFont="1" applyFill="1" applyAlignment="1" applyProtection="1">
      <alignment horizontal="center"/>
      <protection hidden="1"/>
    </xf>
    <xf numFmtId="165" fontId="9" fillId="6" borderId="0" xfId="0" applyNumberFormat="1" applyFont="1" applyFill="1" applyProtection="1">
      <protection hidden="1"/>
    </xf>
    <xf numFmtId="0" fontId="14" fillId="6" borderId="0" xfId="0" applyFont="1" applyFill="1" applyAlignment="1">
      <alignment horizontal="left" vertical="center" indent="1"/>
    </xf>
    <xf numFmtId="0" fontId="14" fillId="6" borderId="0" xfId="0" applyFont="1" applyFill="1" applyAlignment="1" applyProtection="1">
      <alignment horizontal="center"/>
      <protection hidden="1"/>
    </xf>
    <xf numFmtId="0" fontId="9" fillId="6" borderId="63" xfId="0" applyFont="1" applyFill="1" applyBorder="1" applyAlignment="1" applyProtection="1">
      <alignment horizontal="center" vertical="center"/>
      <protection hidden="1"/>
    </xf>
    <xf numFmtId="0" fontId="9" fillId="6" borderId="64" xfId="0" applyFont="1" applyFill="1" applyBorder="1" applyAlignment="1" applyProtection="1">
      <alignment horizontal="center" vertical="center"/>
      <protection hidden="1"/>
    </xf>
    <xf numFmtId="0" fontId="9" fillId="18" borderId="27" xfId="0" applyFont="1" applyFill="1" applyBorder="1" applyAlignment="1" applyProtection="1">
      <alignment horizontal="center" vertical="center"/>
      <protection hidden="1"/>
    </xf>
    <xf numFmtId="0" fontId="9" fillId="18" borderId="42" xfId="0" applyFont="1" applyFill="1" applyBorder="1" applyAlignment="1" applyProtection="1">
      <alignment horizontal="center" vertical="center"/>
      <protection hidden="1"/>
    </xf>
    <xf numFmtId="0" fontId="9" fillId="18" borderId="42" xfId="0" applyFont="1" applyFill="1" applyBorder="1" applyAlignment="1" applyProtection="1">
      <alignment horizontal="center" vertical="center" wrapText="1"/>
      <protection hidden="1"/>
    </xf>
    <xf numFmtId="0" fontId="9" fillId="18" borderId="28" xfId="0" applyFont="1" applyFill="1" applyBorder="1" applyAlignment="1" applyProtection="1">
      <alignment horizontal="center" vertical="center" wrapText="1"/>
      <protection hidden="1"/>
    </xf>
    <xf numFmtId="0" fontId="9" fillId="15" borderId="27" xfId="0" applyFont="1" applyFill="1" applyBorder="1" applyAlignment="1" applyProtection="1">
      <alignment horizontal="center" vertical="center" wrapText="1"/>
      <protection hidden="1"/>
    </xf>
    <xf numFmtId="0" fontId="9" fillId="15" borderId="42" xfId="0" applyFont="1" applyFill="1" applyBorder="1" applyAlignment="1" applyProtection="1">
      <alignment horizontal="center" vertical="center" wrapText="1"/>
      <protection hidden="1"/>
    </xf>
    <xf numFmtId="0" fontId="9" fillId="17" borderId="42" xfId="0" applyFont="1" applyFill="1" applyBorder="1" applyAlignment="1" applyProtection="1">
      <alignment horizontal="center" vertical="center" wrapText="1"/>
      <protection hidden="1"/>
    </xf>
    <xf numFmtId="0" fontId="9" fillId="17" borderId="28" xfId="0" applyFont="1" applyFill="1" applyBorder="1" applyAlignment="1" applyProtection="1">
      <alignment horizontal="center" vertical="center" wrapText="1"/>
      <protection hidden="1"/>
    </xf>
    <xf numFmtId="0" fontId="9" fillId="6" borderId="62" xfId="0" applyFont="1" applyFill="1" applyBorder="1" applyAlignment="1" applyProtection="1">
      <alignment horizontal="left"/>
      <protection hidden="1"/>
    </xf>
    <xf numFmtId="164" fontId="9" fillId="12" borderId="41" xfId="0" applyNumberFormat="1" applyFont="1" applyFill="1" applyBorder="1" applyAlignment="1" applyProtection="1">
      <alignment horizontal="center"/>
      <protection hidden="1"/>
    </xf>
    <xf numFmtId="164" fontId="9" fillId="7" borderId="29" xfId="0" applyNumberFormat="1" applyFont="1" applyFill="1" applyBorder="1" applyAlignment="1" applyProtection="1">
      <alignment horizontal="center"/>
      <protection hidden="1"/>
    </xf>
    <xf numFmtId="164" fontId="9" fillId="12" borderId="30" xfId="0" applyNumberFormat="1" applyFont="1" applyFill="1" applyBorder="1" applyAlignment="1" applyProtection="1">
      <alignment horizontal="center"/>
      <protection hidden="1"/>
    </xf>
    <xf numFmtId="0" fontId="9" fillId="6" borderId="37" xfId="0" applyFont="1" applyFill="1" applyBorder="1" applyAlignment="1" applyProtection="1">
      <alignment horizontal="left"/>
      <protection hidden="1"/>
    </xf>
    <xf numFmtId="0" fontId="9" fillId="7" borderId="29" xfId="0" applyFont="1" applyFill="1" applyBorder="1" applyAlignment="1" applyProtection="1">
      <alignment horizontal="left"/>
      <protection hidden="1"/>
    </xf>
    <xf numFmtId="0" fontId="9" fillId="7" borderId="40" xfId="0" applyFont="1" applyFill="1" applyBorder="1" applyAlignment="1" applyProtection="1">
      <alignment horizontal="left"/>
      <protection hidden="1"/>
    </xf>
    <xf numFmtId="0" fontId="9" fillId="6" borderId="38" xfId="0" applyFont="1" applyFill="1" applyBorder="1" applyAlignment="1">
      <alignment horizontal="left"/>
    </xf>
    <xf numFmtId="0" fontId="9" fillId="7" borderId="31" xfId="0" applyFont="1" applyFill="1" applyBorder="1" applyAlignment="1" applyProtection="1">
      <alignment horizontal="left"/>
      <protection hidden="1"/>
    </xf>
    <xf numFmtId="0" fontId="9" fillId="7" borderId="43" xfId="0" applyFont="1" applyFill="1" applyBorder="1"/>
    <xf numFmtId="0" fontId="9" fillId="12" borderId="32" xfId="0" applyFont="1" applyFill="1" applyBorder="1" applyAlignment="1">
      <alignment horizontal="center"/>
    </xf>
    <xf numFmtId="0" fontId="9" fillId="12" borderId="53" xfId="0" applyFont="1" applyFill="1" applyBorder="1" applyAlignment="1">
      <alignment horizontal="center"/>
    </xf>
    <xf numFmtId="164" fontId="9" fillId="7" borderId="31" xfId="0" applyNumberFormat="1" applyFont="1" applyFill="1" applyBorder="1" applyAlignment="1" applyProtection="1">
      <alignment horizontal="center"/>
      <protection hidden="1"/>
    </xf>
    <xf numFmtId="0" fontId="14" fillId="6" borderId="40" xfId="0" applyFont="1" applyFill="1" applyBorder="1" applyAlignment="1">
      <alignment wrapText="1"/>
    </xf>
    <xf numFmtId="0" fontId="14" fillId="6" borderId="40" xfId="0" applyFont="1" applyFill="1" applyBorder="1" applyAlignment="1">
      <alignment horizontal="center"/>
    </xf>
    <xf numFmtId="0" fontId="14" fillId="6" borderId="40" xfId="0" applyFont="1" applyFill="1" applyBorder="1"/>
    <xf numFmtId="0" fontId="14" fillId="6" borderId="52" xfId="0" applyFont="1" applyFill="1" applyBorder="1"/>
    <xf numFmtId="0" fontId="14" fillId="0" borderId="40" xfId="0" applyFont="1" applyBorder="1"/>
    <xf numFmtId="164" fontId="14" fillId="6" borderId="40" xfId="0" applyNumberFormat="1" applyFont="1" applyFill="1" applyBorder="1"/>
    <xf numFmtId="0" fontId="14" fillId="6" borderId="0" xfId="0" applyFont="1" applyFill="1" applyProtection="1">
      <protection hidden="1"/>
    </xf>
    <xf numFmtId="0" fontId="14" fillId="6" borderId="40" xfId="0" applyFont="1" applyFill="1" applyBorder="1" applyProtection="1">
      <protection hidden="1"/>
    </xf>
    <xf numFmtId="0" fontId="14" fillId="6" borderId="40" xfId="0" applyFont="1" applyFill="1" applyBorder="1" applyProtection="1">
      <protection locked="0" hidden="1"/>
    </xf>
    <xf numFmtId="0" fontId="11" fillId="6" borderId="40" xfId="3" applyFont="1" applyFill="1" applyBorder="1" applyProtection="1">
      <protection locked="0" hidden="1"/>
    </xf>
    <xf numFmtId="49" fontId="14" fillId="6" borderId="40" xfId="0" applyNumberFormat="1" applyFont="1" applyFill="1" applyBorder="1" applyProtection="1">
      <protection locked="0" hidden="1"/>
    </xf>
    <xf numFmtId="168" fontId="14" fillId="6" borderId="0" xfId="0" applyNumberFormat="1" applyFont="1" applyFill="1" applyProtection="1">
      <protection hidden="1"/>
    </xf>
    <xf numFmtId="167" fontId="14" fillId="6" borderId="0" xfId="0" applyNumberFormat="1" applyFont="1" applyFill="1" applyProtection="1">
      <protection hidden="1"/>
    </xf>
    <xf numFmtId="1" fontId="14" fillId="6" borderId="0" xfId="0" applyNumberFormat="1" applyFont="1" applyFill="1" applyProtection="1">
      <protection hidden="1"/>
    </xf>
    <xf numFmtId="0" fontId="9" fillId="0" borderId="40" xfId="0" applyFont="1" applyBorder="1" applyAlignment="1" applyProtection="1">
      <alignment horizontal="center"/>
      <protection hidden="1"/>
    </xf>
    <xf numFmtId="0" fontId="15" fillId="4" borderId="12" xfId="1" applyFont="1" applyFill="1" applyBorder="1" applyAlignment="1" applyProtection="1">
      <alignment horizontal="center" wrapText="1"/>
      <protection hidden="1"/>
    </xf>
    <xf numFmtId="0" fontId="14" fillId="6" borderId="40" xfId="0" applyFont="1" applyFill="1" applyBorder="1" applyAlignment="1" applyProtection="1">
      <alignment vertical="center" wrapText="1"/>
      <protection locked="0" hidden="1"/>
    </xf>
    <xf numFmtId="0" fontId="22" fillId="6" borderId="40" xfId="1" applyFont="1" applyFill="1" applyBorder="1" applyAlignment="1" applyProtection="1">
      <alignment vertical="center" wrapText="1"/>
      <protection locked="0" hidden="1"/>
    </xf>
    <xf numFmtId="0" fontId="22" fillId="6" borderId="40" xfId="1" applyFont="1" applyFill="1" applyBorder="1" applyAlignment="1" applyProtection="1">
      <alignment horizontal="left" vertical="center" wrapText="1"/>
      <protection hidden="1"/>
    </xf>
    <xf numFmtId="0" fontId="18" fillId="11" borderId="44" xfId="1" applyFont="1" applyFill="1" applyBorder="1" applyAlignment="1" applyProtection="1">
      <alignment horizontal="left" vertical="top" wrapText="1"/>
      <protection hidden="1"/>
    </xf>
    <xf numFmtId="0" fontId="18" fillId="6" borderId="20" xfId="1" applyFont="1" applyFill="1" applyBorder="1" applyAlignment="1" applyProtection="1">
      <alignment horizontal="center" vertical="center" wrapText="1"/>
      <protection hidden="1"/>
    </xf>
    <xf numFmtId="0" fontId="18" fillId="6" borderId="21" xfId="1" applyFont="1" applyFill="1" applyBorder="1" applyAlignment="1" applyProtection="1">
      <alignment horizontal="center" vertical="center" wrapText="1"/>
      <protection hidden="1"/>
    </xf>
    <xf numFmtId="0" fontId="18" fillId="11" borderId="20" xfId="1" applyFont="1" applyFill="1" applyBorder="1" applyAlignment="1" applyProtection="1">
      <alignment horizontal="center" vertical="center" wrapText="1"/>
      <protection hidden="1"/>
    </xf>
    <xf numFmtId="0" fontId="18" fillId="11" borderId="21" xfId="1" applyFont="1" applyFill="1" applyBorder="1" applyAlignment="1" applyProtection="1">
      <alignment horizontal="center" vertical="center" wrapText="1"/>
      <protection hidden="1"/>
    </xf>
    <xf numFmtId="0" fontId="18" fillId="6" borderId="22" xfId="1" applyFont="1" applyFill="1" applyBorder="1" applyAlignment="1" applyProtection="1">
      <alignment horizontal="center" vertical="center" wrapText="1"/>
      <protection locked="0" hidden="1"/>
    </xf>
    <xf numFmtId="0" fontId="18" fillId="11" borderId="19" xfId="1" applyFont="1" applyFill="1" applyBorder="1" applyAlignment="1" applyProtection="1">
      <alignment horizontal="center" vertical="center" wrapText="1"/>
      <protection hidden="1"/>
    </xf>
    <xf numFmtId="0" fontId="9" fillId="6" borderId="0" xfId="0" applyFont="1" applyFill="1" applyAlignment="1" applyProtection="1">
      <alignment horizontal="center" vertical="center" wrapText="1"/>
      <protection hidden="1"/>
    </xf>
    <xf numFmtId="169" fontId="9" fillId="7" borderId="40" xfId="0" applyNumberFormat="1" applyFont="1" applyFill="1" applyBorder="1" applyAlignment="1" applyProtection="1">
      <alignment horizontal="center"/>
      <protection hidden="1"/>
    </xf>
    <xf numFmtId="169" fontId="9" fillId="7" borderId="43" xfId="0" applyNumberFormat="1" applyFont="1" applyFill="1" applyBorder="1"/>
    <xf numFmtId="0" fontId="18" fillId="11" borderId="14" xfId="1" applyFont="1" applyFill="1" applyBorder="1" applyAlignment="1" applyProtection="1">
      <alignment horizontal="center" vertical="center" wrapText="1"/>
      <protection hidden="1"/>
    </xf>
    <xf numFmtId="169" fontId="14" fillId="6" borderId="40" xfId="0" applyNumberFormat="1" applyFont="1" applyFill="1" applyBorder="1"/>
    <xf numFmtId="0" fontId="9" fillId="6" borderId="0" xfId="0" applyFont="1" applyFill="1" applyAlignment="1" applyProtection="1">
      <alignment vertical="center"/>
      <protection hidden="1"/>
    </xf>
    <xf numFmtId="166" fontId="9" fillId="6" borderId="0" xfId="2" applyNumberFormat="1" applyFont="1" applyFill="1" applyBorder="1" applyProtection="1">
      <protection hidden="1"/>
    </xf>
    <xf numFmtId="0" fontId="9" fillId="16" borderId="27" xfId="0" applyFont="1" applyFill="1" applyBorder="1" applyAlignment="1" applyProtection="1">
      <alignment horizontal="center" vertical="center" wrapText="1"/>
      <protection hidden="1"/>
    </xf>
    <xf numFmtId="0" fontId="9" fillId="16" borderId="42" xfId="0" applyFont="1" applyFill="1" applyBorder="1" applyAlignment="1" applyProtection="1">
      <alignment horizontal="center" vertical="center" wrapText="1"/>
      <protection hidden="1"/>
    </xf>
    <xf numFmtId="0" fontId="9" fillId="16" borderId="68" xfId="0" applyFont="1" applyFill="1" applyBorder="1" applyAlignment="1" applyProtection="1">
      <alignment horizontal="center" vertical="center" wrapText="1"/>
      <protection hidden="1"/>
    </xf>
    <xf numFmtId="169" fontId="9" fillId="7" borderId="43" xfId="0" applyNumberFormat="1" applyFont="1" applyFill="1" applyBorder="1" applyAlignment="1" applyProtection="1">
      <alignment horizontal="center"/>
      <protection hidden="1"/>
    </xf>
    <xf numFmtId="0" fontId="18" fillId="6" borderId="14" xfId="1" applyFont="1" applyFill="1" applyBorder="1" applyAlignment="1" applyProtection="1">
      <alignment horizontal="left" vertical="center" wrapText="1"/>
      <protection hidden="1"/>
    </xf>
    <xf numFmtId="170" fontId="14" fillId="6" borderId="40" xfId="0" applyNumberFormat="1" applyFont="1" applyFill="1" applyBorder="1" applyProtection="1">
      <protection locked="0" hidden="1"/>
    </xf>
    <xf numFmtId="171" fontId="14" fillId="6" borderId="40" xfId="0" applyNumberFormat="1" applyFont="1" applyFill="1" applyBorder="1" applyProtection="1">
      <protection locked="0" hidden="1"/>
    </xf>
    <xf numFmtId="164" fontId="9" fillId="6" borderId="30" xfId="0" applyNumberFormat="1" applyFont="1" applyFill="1" applyBorder="1" applyAlignment="1" applyProtection="1">
      <alignment horizontal="center"/>
      <protection hidden="1"/>
    </xf>
    <xf numFmtId="164" fontId="9" fillId="6" borderId="32" xfId="0" applyNumberFormat="1" applyFont="1" applyFill="1" applyBorder="1" applyAlignment="1" applyProtection="1">
      <alignment horizontal="center"/>
      <protection hidden="1"/>
    </xf>
    <xf numFmtId="0" fontId="9" fillId="6" borderId="41" xfId="0" applyFont="1" applyFill="1" applyBorder="1" applyAlignment="1" applyProtection="1">
      <alignment horizontal="center" vertical="center"/>
      <protection hidden="1"/>
    </xf>
    <xf numFmtId="165" fontId="9" fillId="6" borderId="41" xfId="0" applyNumberFormat="1" applyFont="1" applyFill="1" applyBorder="1" applyProtection="1">
      <protection hidden="1"/>
    </xf>
    <xf numFmtId="165" fontId="9" fillId="6" borderId="53" xfId="0" applyNumberFormat="1" applyFont="1" applyFill="1" applyBorder="1" applyProtection="1">
      <protection hidden="1"/>
    </xf>
    <xf numFmtId="0" fontId="9" fillId="6" borderId="29" xfId="0" applyFont="1" applyFill="1" applyBorder="1" applyAlignment="1" applyProtection="1">
      <alignment horizontal="center" vertical="center"/>
      <protection hidden="1"/>
    </xf>
    <xf numFmtId="0" fontId="9" fillId="6" borderId="30" xfId="0" applyFont="1" applyFill="1" applyBorder="1" applyAlignment="1" applyProtection="1">
      <alignment horizontal="center" vertical="center"/>
      <protection hidden="1"/>
    </xf>
    <xf numFmtId="165" fontId="9" fillId="6" borderId="30" xfId="0" applyNumberFormat="1" applyFont="1" applyFill="1" applyBorder="1" applyProtection="1">
      <protection hidden="1"/>
    </xf>
    <xf numFmtId="165" fontId="9" fillId="6" borderId="32" xfId="0" applyNumberFormat="1" applyFont="1" applyFill="1" applyBorder="1" applyProtection="1">
      <protection hidden="1"/>
    </xf>
    <xf numFmtId="0" fontId="12" fillId="6" borderId="0" xfId="0" applyFont="1" applyFill="1" applyProtection="1">
      <protection hidden="1"/>
    </xf>
    <xf numFmtId="172" fontId="14" fillId="6" borderId="40" xfId="0" applyNumberFormat="1" applyFont="1" applyFill="1" applyBorder="1" applyProtection="1">
      <protection locked="0" hidden="1"/>
    </xf>
    <xf numFmtId="0" fontId="9" fillId="11" borderId="21" xfId="0" applyFont="1" applyFill="1" applyBorder="1" applyAlignment="1" applyProtection="1">
      <alignment horizontal="center" vertical="center"/>
      <protection locked="0" hidden="1"/>
    </xf>
    <xf numFmtId="169" fontId="14" fillId="6" borderId="40" xfId="4" applyNumberFormat="1" applyFont="1" applyFill="1" applyBorder="1"/>
    <xf numFmtId="0" fontId="18" fillId="0" borderId="14" xfId="1" applyFont="1" applyBorder="1" applyAlignment="1" applyProtection="1">
      <alignment horizontal="left" vertical="center" wrapText="1"/>
      <protection hidden="1"/>
    </xf>
    <xf numFmtId="0" fontId="7" fillId="6" borderId="40" xfId="0" applyFont="1" applyFill="1" applyBorder="1"/>
    <xf numFmtId="0" fontId="18" fillId="0" borderId="71" xfId="1" applyFont="1" applyBorder="1" applyAlignment="1" applyProtection="1">
      <alignment horizontal="left" vertical="center" wrapText="1"/>
      <protection hidden="1"/>
    </xf>
    <xf numFmtId="0" fontId="18" fillId="6" borderId="72" xfId="1" applyFont="1" applyFill="1" applyBorder="1" applyAlignment="1" applyProtection="1">
      <alignment horizontal="left" vertical="center" wrapText="1"/>
      <protection hidden="1"/>
    </xf>
    <xf numFmtId="0" fontId="18" fillId="6" borderId="49" xfId="1" applyFont="1" applyFill="1" applyBorder="1" applyAlignment="1" applyProtection="1">
      <alignment horizontal="center" vertical="center" wrapText="1"/>
      <protection hidden="1"/>
    </xf>
    <xf numFmtId="0" fontId="18" fillId="6" borderId="19" xfId="1" applyFont="1" applyFill="1" applyBorder="1" applyAlignment="1" applyProtection="1">
      <alignment horizontal="center" vertical="center" wrapText="1"/>
      <protection hidden="1"/>
    </xf>
    <xf numFmtId="0" fontId="18" fillId="11" borderId="19" xfId="1" applyFont="1" applyFill="1" applyBorder="1" applyAlignment="1" applyProtection="1">
      <alignment horizontal="left" vertical="center" wrapText="1"/>
      <protection hidden="1"/>
    </xf>
    <xf numFmtId="0" fontId="18" fillId="6" borderId="22" xfId="1" applyFont="1" applyFill="1" applyBorder="1" applyAlignment="1" applyProtection="1">
      <alignment horizontal="left" vertical="center" wrapText="1"/>
      <protection hidden="1"/>
    </xf>
    <xf numFmtId="0" fontId="18" fillId="6" borderId="22" xfId="1" applyFont="1" applyFill="1" applyBorder="1" applyAlignment="1" applyProtection="1">
      <alignment horizontal="center" vertical="center" wrapText="1"/>
      <protection hidden="1"/>
    </xf>
    <xf numFmtId="0" fontId="15" fillId="6" borderId="14" xfId="1" applyFont="1" applyFill="1" applyBorder="1" applyAlignment="1" applyProtection="1">
      <alignment vertical="center" wrapText="1"/>
      <protection hidden="1"/>
    </xf>
    <xf numFmtId="0" fontId="15" fillId="6" borderId="58" xfId="1" applyFont="1" applyFill="1" applyBorder="1" applyAlignment="1" applyProtection="1">
      <alignment horizontal="left" vertical="center" wrapText="1"/>
      <protection hidden="1"/>
    </xf>
    <xf numFmtId="0" fontId="18" fillId="6" borderId="58" xfId="1" applyFont="1" applyFill="1" applyBorder="1" applyAlignment="1" applyProtection="1">
      <alignment horizontal="center" vertical="center" wrapText="1"/>
      <protection hidden="1"/>
    </xf>
    <xf numFmtId="0" fontId="18" fillId="6" borderId="73" xfId="1" applyFont="1" applyFill="1" applyBorder="1" applyAlignment="1" applyProtection="1">
      <alignment horizontal="left" vertical="top" wrapText="1"/>
      <protection hidden="1"/>
    </xf>
    <xf numFmtId="0" fontId="18" fillId="6" borderId="74" xfId="1" applyFont="1" applyFill="1" applyBorder="1" applyAlignment="1" applyProtection="1">
      <alignment horizontal="center" vertical="center" wrapText="1"/>
      <protection hidden="1"/>
    </xf>
    <xf numFmtId="0" fontId="18" fillId="6" borderId="72" xfId="1" applyFont="1" applyFill="1" applyBorder="1" applyAlignment="1" applyProtection="1">
      <alignment horizontal="center" vertical="center" wrapText="1"/>
      <protection hidden="1"/>
    </xf>
    <xf numFmtId="0" fontId="18" fillId="6" borderId="19" xfId="1" applyFont="1" applyFill="1" applyBorder="1" applyAlignment="1" applyProtection="1">
      <alignment horizontal="center" vertical="center"/>
      <protection locked="0" hidden="1"/>
    </xf>
    <xf numFmtId="0" fontId="18" fillId="11" borderId="75" xfId="1" applyFont="1" applyFill="1" applyBorder="1" applyAlignment="1" applyProtection="1">
      <alignment horizontal="left" vertical="top" wrapText="1"/>
      <protection hidden="1"/>
    </xf>
    <xf numFmtId="0" fontId="18" fillId="11" borderId="76" xfId="1" applyFont="1" applyFill="1" applyBorder="1" applyAlignment="1" applyProtection="1">
      <alignment horizontal="center" vertical="center" wrapText="1"/>
      <protection hidden="1"/>
    </xf>
    <xf numFmtId="0" fontId="18" fillId="11" borderId="71" xfId="1" applyFont="1" applyFill="1" applyBorder="1" applyAlignment="1" applyProtection="1">
      <alignment horizontal="center" vertical="center" wrapText="1"/>
      <protection hidden="1"/>
    </xf>
    <xf numFmtId="0" fontId="18" fillId="11" borderId="22" xfId="1" applyFont="1" applyFill="1" applyBorder="1" applyAlignment="1" applyProtection="1">
      <alignment horizontal="center" vertical="center"/>
      <protection locked="0" hidden="1"/>
    </xf>
    <xf numFmtId="0" fontId="18" fillId="6" borderId="0" xfId="1" applyFont="1" applyFill="1" applyAlignment="1" applyProtection="1">
      <alignment horizontal="center" vertical="center" wrapText="1"/>
      <protection hidden="1"/>
    </xf>
    <xf numFmtId="0" fontId="15" fillId="6" borderId="14" xfId="1" applyFont="1" applyFill="1" applyBorder="1" applyAlignment="1" applyProtection="1">
      <alignment horizontal="center" vertical="top" wrapText="1"/>
      <protection hidden="1"/>
    </xf>
    <xf numFmtId="0" fontId="18" fillId="6" borderId="58" xfId="1" applyFont="1" applyFill="1" applyBorder="1" applyAlignment="1" applyProtection="1">
      <alignment horizontal="left" vertical="top" wrapText="1"/>
      <protection hidden="1"/>
    </xf>
    <xf numFmtId="0" fontId="18" fillId="6" borderId="19" xfId="1" applyFont="1" applyFill="1" applyBorder="1" applyAlignment="1" applyProtection="1">
      <alignment horizontal="left" vertical="top" wrapText="1"/>
      <protection hidden="1"/>
    </xf>
    <xf numFmtId="0" fontId="18" fillId="6" borderId="25" xfId="1" applyFont="1" applyFill="1" applyBorder="1" applyAlignment="1" applyProtection="1">
      <alignment horizontal="center" vertical="center" wrapText="1"/>
      <protection hidden="1"/>
    </xf>
    <xf numFmtId="0" fontId="9" fillId="6" borderId="25" xfId="0" applyFont="1" applyFill="1" applyBorder="1" applyAlignment="1" applyProtection="1">
      <alignment horizontal="center" vertical="center"/>
      <protection locked="0" hidden="1"/>
    </xf>
    <xf numFmtId="0" fontId="18" fillId="4" borderId="72" xfId="1" applyFont="1" applyFill="1" applyBorder="1" applyAlignment="1" applyProtection="1">
      <alignment horizontal="left" vertical="center" wrapText="1"/>
      <protection hidden="1"/>
    </xf>
    <xf numFmtId="0" fontId="18" fillId="4" borderId="49" xfId="1" applyFont="1" applyFill="1" applyBorder="1" applyAlignment="1" applyProtection="1">
      <alignment horizontal="center" vertical="center" wrapText="1"/>
      <protection hidden="1"/>
    </xf>
    <xf numFmtId="0" fontId="18" fillId="4" borderId="19" xfId="1" applyFont="1" applyFill="1" applyBorder="1" applyAlignment="1" applyProtection="1">
      <alignment horizontal="center" vertical="center" wrapText="1"/>
      <protection hidden="1"/>
    </xf>
    <xf numFmtId="0" fontId="18" fillId="6" borderId="58" xfId="1" applyFont="1" applyFill="1" applyBorder="1" applyAlignment="1" applyProtection="1">
      <alignment horizontal="left" vertical="center" wrapText="1"/>
      <protection hidden="1"/>
    </xf>
    <xf numFmtId="0" fontId="9" fillId="0" borderId="22" xfId="0" applyFont="1" applyBorder="1" applyAlignment="1" applyProtection="1">
      <alignment vertical="center" wrapText="1"/>
      <protection locked="0" hidden="1"/>
    </xf>
    <xf numFmtId="0" fontId="18" fillId="4" borderId="49" xfId="1" applyFont="1" applyFill="1" applyBorder="1" applyAlignment="1" applyProtection="1">
      <alignment vertical="center" wrapText="1"/>
      <protection locked="0" hidden="1"/>
    </xf>
    <xf numFmtId="0" fontId="15" fillId="6" borderId="58" xfId="1" applyFont="1" applyFill="1" applyBorder="1" applyAlignment="1" applyProtection="1">
      <alignment horizontal="left" wrapText="1"/>
      <protection hidden="1"/>
    </xf>
    <xf numFmtId="0" fontId="15" fillId="6" borderId="72" xfId="1" applyFont="1" applyFill="1" applyBorder="1" applyAlignment="1" applyProtection="1">
      <alignment horizontal="left" wrapText="1"/>
      <protection hidden="1"/>
    </xf>
    <xf numFmtId="0" fontId="15" fillId="6" borderId="50" xfId="1" applyFont="1" applyFill="1" applyBorder="1" applyAlignment="1" applyProtection="1">
      <alignment horizontal="left" wrapText="1"/>
      <protection hidden="1"/>
    </xf>
    <xf numFmtId="0" fontId="18" fillId="6" borderId="0" xfId="0" applyFont="1" applyFill="1" applyAlignment="1" applyProtection="1">
      <alignment wrapText="1"/>
      <protection locked="0" hidden="1"/>
    </xf>
    <xf numFmtId="0" fontId="18" fillId="11" borderId="14" xfId="1" applyFont="1" applyFill="1" applyBorder="1" applyAlignment="1" applyProtection="1">
      <alignment horizontal="left" vertical="center" wrapText="1"/>
      <protection hidden="1"/>
    </xf>
    <xf numFmtId="0" fontId="7" fillId="6" borderId="40" xfId="1" applyFont="1" applyFill="1" applyBorder="1" applyAlignment="1" applyProtection="1">
      <alignment horizontal="left" vertical="center" wrapText="1"/>
      <protection hidden="1"/>
    </xf>
    <xf numFmtId="0" fontId="18" fillId="6" borderId="0" xfId="1" applyFont="1" applyFill="1" applyAlignment="1" applyProtection="1">
      <alignment vertical="center" wrapText="1"/>
      <protection hidden="1"/>
    </xf>
    <xf numFmtId="0" fontId="18" fillId="0" borderId="65" xfId="1" applyFont="1" applyBorder="1" applyAlignment="1" applyProtection="1">
      <alignment horizontal="left" vertical="center" wrapText="1"/>
      <protection hidden="1"/>
    </xf>
    <xf numFmtId="169" fontId="7" fillId="6" borderId="0" xfId="0" applyNumberFormat="1" applyFont="1" applyFill="1"/>
    <xf numFmtId="0" fontId="0" fillId="6" borderId="0" xfId="0" applyFill="1" applyAlignment="1">
      <alignment horizontal="center"/>
    </xf>
    <xf numFmtId="0" fontId="0" fillId="6" borderId="0" xfId="0" applyFill="1" applyAlignment="1">
      <alignment horizontal="left"/>
    </xf>
    <xf numFmtId="0" fontId="0" fillId="6" borderId="40" xfId="0" applyFill="1" applyBorder="1" applyAlignment="1">
      <alignment horizontal="center"/>
    </xf>
    <xf numFmtId="0" fontId="0" fillId="6" borderId="40" xfId="0" applyFill="1" applyBorder="1"/>
    <xf numFmtId="0" fontId="0" fillId="6" borderId="40" xfId="0" applyFill="1" applyBorder="1" applyAlignment="1">
      <alignment wrapText="1"/>
    </xf>
    <xf numFmtId="14" fontId="0" fillId="6" borderId="22" xfId="0" applyNumberFormat="1" applyFill="1" applyBorder="1" applyAlignment="1">
      <alignment horizontal="center" vertical="top"/>
    </xf>
    <xf numFmtId="14" fontId="0" fillId="6" borderId="21" xfId="0" applyNumberFormat="1" applyFill="1" applyBorder="1" applyAlignment="1">
      <alignment horizontal="center" vertical="top"/>
    </xf>
    <xf numFmtId="14" fontId="0" fillId="6" borderId="19" xfId="0" applyNumberFormat="1" applyFill="1" applyBorder="1" applyAlignment="1">
      <alignment horizontal="center" vertical="top"/>
    </xf>
    <xf numFmtId="0" fontId="0" fillId="20" borderId="40" xfId="0" applyFill="1" applyBorder="1" applyAlignment="1">
      <alignment horizontal="center"/>
    </xf>
    <xf numFmtId="0" fontId="0" fillId="20" borderId="40" xfId="0" applyFill="1" applyBorder="1"/>
    <xf numFmtId="0" fontId="0" fillId="6" borderId="40" xfId="0" applyFill="1" applyBorder="1" applyAlignment="1">
      <alignment vertical="top" wrapText="1"/>
    </xf>
    <xf numFmtId="0" fontId="0" fillId="0" borderId="0" xfId="0" applyAlignment="1">
      <alignment wrapText="1"/>
    </xf>
    <xf numFmtId="20" fontId="0" fillId="0" borderId="0" xfId="0" applyNumberFormat="1"/>
    <xf numFmtId="0" fontId="4" fillId="6" borderId="0" xfId="3" applyFill="1" applyProtection="1">
      <protection hidden="1"/>
    </xf>
    <xf numFmtId="0" fontId="4" fillId="6" borderId="40" xfId="3" applyFill="1" applyBorder="1" applyProtection="1">
      <protection locked="0" hidden="1"/>
    </xf>
    <xf numFmtId="0" fontId="12" fillId="6" borderId="0" xfId="0" applyFont="1" applyFill="1" applyAlignment="1" applyProtection="1">
      <alignment horizontal="left" vertical="center"/>
      <protection hidden="1"/>
    </xf>
    <xf numFmtId="0" fontId="17" fillId="2" borderId="1" xfId="1" applyFont="1" applyFill="1" applyBorder="1" applyAlignment="1" applyProtection="1">
      <alignment horizontal="center" vertical="top" wrapText="1"/>
      <protection hidden="1"/>
    </xf>
    <xf numFmtId="0" fontId="9" fillId="6" borderId="40" xfId="0" applyFont="1" applyFill="1" applyBorder="1" applyProtection="1">
      <protection hidden="1"/>
    </xf>
    <xf numFmtId="0" fontId="15" fillId="0" borderId="11" xfId="1" applyFont="1" applyBorder="1" applyAlignment="1" applyProtection="1">
      <alignment horizontal="center" wrapText="1"/>
      <protection hidden="1"/>
    </xf>
    <xf numFmtId="0" fontId="15" fillId="4" borderId="11" xfId="1" applyFont="1" applyFill="1" applyBorder="1" applyAlignment="1" applyProtection="1">
      <alignment horizontal="center" wrapText="1"/>
      <protection hidden="1"/>
    </xf>
    <xf numFmtId="0" fontId="15" fillId="0" borderId="13" xfId="1" applyFont="1" applyBorder="1" applyAlignment="1" applyProtection="1">
      <alignment horizontal="center" wrapText="1"/>
      <protection hidden="1"/>
    </xf>
    <xf numFmtId="0" fontId="18" fillId="6" borderId="11" xfId="1" applyFont="1" applyFill="1" applyBorder="1" applyAlignment="1" applyProtection="1">
      <alignment horizontal="center" vertical="top" wrapText="1"/>
      <protection hidden="1"/>
    </xf>
    <xf numFmtId="0" fontId="15" fillId="6" borderId="77" xfId="1" applyFont="1" applyFill="1" applyBorder="1" applyAlignment="1" applyProtection="1">
      <alignment horizontal="left" wrapText="1"/>
      <protection hidden="1"/>
    </xf>
    <xf numFmtId="0" fontId="15" fillId="6" borderId="0" xfId="1" applyFont="1" applyFill="1" applyAlignment="1" applyProtection="1">
      <alignment horizontal="left" vertical="top" wrapText="1"/>
      <protection hidden="1"/>
    </xf>
    <xf numFmtId="0" fontId="18" fillId="6" borderId="0" xfId="1" applyFont="1" applyFill="1" applyAlignment="1" applyProtection="1">
      <alignment horizontal="left" vertical="top" wrapText="1"/>
      <protection hidden="1"/>
    </xf>
    <xf numFmtId="0" fontId="18" fillId="6" borderId="0" xfId="1" applyFont="1" applyFill="1" applyAlignment="1" applyProtection="1">
      <alignment horizontal="center" vertical="top" wrapText="1"/>
      <protection hidden="1"/>
    </xf>
    <xf numFmtId="0" fontId="15" fillId="6" borderId="20" xfId="1" applyFont="1" applyFill="1" applyBorder="1" applyAlignment="1" applyProtection="1">
      <alignment horizontal="left" vertical="top" wrapText="1"/>
      <protection hidden="1"/>
    </xf>
    <xf numFmtId="0" fontId="18" fillId="6" borderId="25" xfId="1" applyFont="1" applyFill="1" applyBorder="1" applyAlignment="1" applyProtection="1">
      <alignment horizontal="center" vertical="top" wrapText="1"/>
      <protection hidden="1"/>
    </xf>
    <xf numFmtId="0" fontId="15" fillId="6" borderId="14" xfId="1" applyFont="1" applyFill="1" applyBorder="1" applyAlignment="1" applyProtection="1">
      <alignment horizontal="left" vertical="top" wrapText="1"/>
      <protection hidden="1"/>
    </xf>
    <xf numFmtId="0" fontId="18" fillId="6" borderId="15" xfId="1" applyFont="1" applyFill="1" applyBorder="1" applyAlignment="1" applyProtection="1">
      <alignment horizontal="center" vertical="top" wrapText="1"/>
      <protection hidden="1"/>
    </xf>
    <xf numFmtId="0" fontId="15" fillId="6" borderId="0" xfId="1" applyFont="1" applyFill="1" applyAlignment="1" applyProtection="1">
      <alignment horizontal="center" vertical="top" wrapText="1"/>
      <protection hidden="1"/>
    </xf>
    <xf numFmtId="0" fontId="15" fillId="4" borderId="21" xfId="1" applyFont="1" applyFill="1" applyBorder="1" applyAlignment="1" applyProtection="1">
      <alignment horizontal="left" vertical="top" wrapText="1"/>
      <protection hidden="1"/>
    </xf>
    <xf numFmtId="0" fontId="15" fillId="6" borderId="21" xfId="1" applyFont="1" applyFill="1" applyBorder="1" applyAlignment="1" applyProtection="1">
      <alignment horizontal="left" vertical="top" wrapText="1"/>
      <protection hidden="1"/>
    </xf>
    <xf numFmtId="0" fontId="15" fillId="6" borderId="25" xfId="1" applyFont="1" applyFill="1" applyBorder="1" applyAlignment="1" applyProtection="1">
      <alignment horizontal="center" vertical="top" wrapText="1"/>
      <protection hidden="1"/>
    </xf>
    <xf numFmtId="0" fontId="15" fillId="6" borderId="21" xfId="1" applyFont="1" applyFill="1" applyBorder="1" applyAlignment="1" applyProtection="1">
      <alignment horizontal="center" vertical="top" wrapText="1"/>
      <protection hidden="1"/>
    </xf>
    <xf numFmtId="0" fontId="18" fillId="6" borderId="21" xfId="1" applyFont="1" applyFill="1" applyBorder="1" applyAlignment="1" applyProtection="1">
      <alignment horizontal="center" vertical="top" wrapText="1"/>
      <protection hidden="1"/>
    </xf>
    <xf numFmtId="0" fontId="15" fillId="6" borderId="19" xfId="1" applyFont="1" applyFill="1" applyBorder="1" applyAlignment="1" applyProtection="1">
      <alignment horizontal="left" vertical="top" wrapText="1"/>
      <protection hidden="1"/>
    </xf>
    <xf numFmtId="0" fontId="15" fillId="6" borderId="19" xfId="1" applyFont="1" applyFill="1" applyBorder="1" applyAlignment="1" applyProtection="1">
      <alignment horizontal="center" vertical="top" wrapText="1"/>
      <protection hidden="1"/>
    </xf>
    <xf numFmtId="0" fontId="15" fillId="6" borderId="50" xfId="1" applyFont="1" applyFill="1" applyBorder="1" applyAlignment="1" applyProtection="1">
      <alignment horizontal="center" vertical="top" wrapText="1"/>
      <protection hidden="1"/>
    </xf>
    <xf numFmtId="0" fontId="18" fillId="6" borderId="19" xfId="1" applyFont="1" applyFill="1" applyBorder="1" applyAlignment="1" applyProtection="1">
      <alignment horizontal="center" vertical="top" wrapText="1"/>
      <protection hidden="1"/>
    </xf>
    <xf numFmtId="0" fontId="15" fillId="11" borderId="21" xfId="1" applyFont="1" applyFill="1" applyBorder="1" applyAlignment="1" applyProtection="1">
      <alignment horizontal="center" vertical="top" wrapText="1"/>
      <protection hidden="1"/>
    </xf>
    <xf numFmtId="0" fontId="15" fillId="11" borderId="0" xfId="1" applyFont="1" applyFill="1" applyAlignment="1" applyProtection="1">
      <alignment horizontal="center" vertical="top" wrapText="1"/>
      <protection hidden="1"/>
    </xf>
    <xf numFmtId="0" fontId="18" fillId="11" borderId="21" xfId="1" applyFont="1" applyFill="1" applyBorder="1" applyAlignment="1" applyProtection="1">
      <alignment horizontal="center" vertical="top" wrapText="1"/>
      <protection hidden="1"/>
    </xf>
    <xf numFmtId="0" fontId="15" fillId="11" borderId="22" xfId="1" applyFont="1" applyFill="1" applyBorder="1" applyAlignment="1" applyProtection="1">
      <alignment horizontal="center" vertical="top" wrapText="1"/>
      <protection hidden="1"/>
    </xf>
    <xf numFmtId="0" fontId="18" fillId="11" borderId="22" xfId="1" applyFont="1" applyFill="1" applyBorder="1" applyAlignment="1" applyProtection="1">
      <alignment horizontal="center" vertical="top" wrapText="1"/>
      <protection hidden="1"/>
    </xf>
    <xf numFmtId="0" fontId="15" fillId="6" borderId="49" xfId="1" applyFont="1" applyFill="1" applyBorder="1" applyAlignment="1" applyProtection="1">
      <alignment wrapText="1"/>
      <protection hidden="1"/>
    </xf>
    <xf numFmtId="0" fontId="26" fillId="6" borderId="50" xfId="3" applyFont="1" applyFill="1" applyBorder="1" applyAlignment="1" applyProtection="1">
      <alignment wrapText="1"/>
      <protection hidden="1"/>
    </xf>
    <xf numFmtId="0" fontId="12" fillId="6" borderId="0" xfId="1" applyFont="1" applyFill="1" applyAlignment="1" applyProtection="1">
      <alignment horizontal="left" vertical="top" wrapText="1"/>
      <protection hidden="1"/>
    </xf>
    <xf numFmtId="0" fontId="18" fillId="6" borderId="50" xfId="1" applyFont="1" applyFill="1" applyBorder="1" applyAlignment="1" applyProtection="1">
      <alignment horizontal="center" vertical="center" wrapText="1"/>
      <protection hidden="1"/>
    </xf>
    <xf numFmtId="0" fontId="9" fillId="11" borderId="25" xfId="0" applyFont="1" applyFill="1" applyBorder="1" applyAlignment="1" applyProtection="1">
      <alignment horizontal="center" vertical="center"/>
      <protection locked="0" hidden="1"/>
    </xf>
    <xf numFmtId="0" fontId="15" fillId="6" borderId="20" xfId="1" applyFont="1" applyFill="1" applyBorder="1" applyAlignment="1" applyProtection="1">
      <alignment vertical="center" wrapText="1"/>
      <protection hidden="1"/>
    </xf>
    <xf numFmtId="0" fontId="18" fillId="6" borderId="21" xfId="1" applyFont="1" applyFill="1" applyBorder="1" applyAlignment="1" applyProtection="1">
      <alignment horizontal="left" vertical="top" wrapText="1"/>
      <protection hidden="1"/>
    </xf>
    <xf numFmtId="0" fontId="18" fillId="11" borderId="25" xfId="1" applyFont="1" applyFill="1" applyBorder="1" applyAlignment="1" applyProtection="1">
      <alignment horizontal="center" vertical="center" wrapText="1"/>
      <protection hidden="1"/>
    </xf>
    <xf numFmtId="0" fontId="15" fillId="6" borderId="65" xfId="1" applyFont="1" applyFill="1" applyBorder="1" applyAlignment="1" applyProtection="1">
      <alignment vertical="top" wrapText="1"/>
      <protection hidden="1"/>
    </xf>
    <xf numFmtId="0" fontId="15" fillId="6" borderId="48" xfId="1" applyFont="1" applyFill="1" applyBorder="1" applyAlignment="1" applyProtection="1">
      <alignment vertical="top" wrapText="1"/>
      <protection hidden="1"/>
    </xf>
    <xf numFmtId="0" fontId="15" fillId="11" borderId="51" xfId="1" applyFont="1" applyFill="1" applyBorder="1" applyAlignment="1" applyProtection="1">
      <alignment horizontal="center" vertical="center" wrapText="1"/>
      <protection hidden="1"/>
    </xf>
    <xf numFmtId="0" fontId="15" fillId="11" borderId="19" xfId="1" applyFont="1" applyFill="1" applyBorder="1" applyAlignment="1" applyProtection="1">
      <alignment horizontal="center" vertical="center" wrapText="1"/>
      <protection hidden="1"/>
    </xf>
    <xf numFmtId="0" fontId="18" fillId="11" borderId="21" xfId="1" applyFont="1" applyFill="1" applyBorder="1" applyAlignment="1" applyProtection="1">
      <alignment horizontal="left" vertical="top" wrapText="1"/>
      <protection hidden="1"/>
    </xf>
    <xf numFmtId="0" fontId="18" fillId="11" borderId="0" xfId="1" applyFont="1" applyFill="1" applyAlignment="1" applyProtection="1">
      <alignment horizontal="center" vertical="top" wrapText="1"/>
      <protection hidden="1"/>
    </xf>
    <xf numFmtId="0" fontId="9" fillId="6" borderId="51" xfId="0" applyFont="1" applyFill="1" applyBorder="1" applyAlignment="1" applyProtection="1">
      <alignment horizontal="center" vertical="center"/>
      <protection locked="0" hidden="1"/>
    </xf>
    <xf numFmtId="0" fontId="18" fillId="11" borderId="22" xfId="1" applyFont="1" applyFill="1" applyBorder="1" applyAlignment="1" applyProtection="1">
      <alignment horizontal="left" vertical="top" wrapText="1"/>
      <protection hidden="1"/>
    </xf>
    <xf numFmtId="0" fontId="18" fillId="11" borderId="24" xfId="1" applyFont="1" applyFill="1" applyBorder="1" applyAlignment="1" applyProtection="1">
      <alignment horizontal="center" vertical="top" wrapText="1"/>
      <protection hidden="1"/>
    </xf>
    <xf numFmtId="0" fontId="9" fillId="11" borderId="26" xfId="0" applyFont="1" applyFill="1" applyBorder="1" applyAlignment="1" applyProtection="1">
      <alignment horizontal="center" vertical="center"/>
      <protection locked="0" hidden="1"/>
    </xf>
    <xf numFmtId="0" fontId="18" fillId="6" borderId="0" xfId="0" applyFont="1" applyFill="1" applyAlignment="1" applyProtection="1">
      <alignment wrapText="1"/>
      <protection hidden="1"/>
    </xf>
    <xf numFmtId="0" fontId="7" fillId="21" borderId="40" xfId="1" applyFont="1" applyFill="1" applyBorder="1" applyAlignment="1" applyProtection="1">
      <alignment horizontal="left" vertical="center" wrapText="1"/>
      <protection hidden="1"/>
    </xf>
    <xf numFmtId="0" fontId="14" fillId="21" borderId="40" xfId="0" applyFont="1" applyFill="1" applyBorder="1" applyAlignment="1">
      <alignment horizontal="center"/>
    </xf>
    <xf numFmtId="0" fontId="14" fillId="21" borderId="40" xfId="0" applyFont="1" applyFill="1" applyBorder="1"/>
    <xf numFmtId="169" fontId="14" fillId="21" borderId="40" xfId="0" applyNumberFormat="1" applyFont="1" applyFill="1" applyBorder="1"/>
    <xf numFmtId="0" fontId="18" fillId="11" borderId="11" xfId="1" applyFont="1" applyFill="1" applyBorder="1" applyAlignment="1" applyProtection="1">
      <alignment horizontal="center" vertical="center" wrapText="1"/>
      <protection locked="0" hidden="1"/>
    </xf>
    <xf numFmtId="0" fontId="18" fillId="6" borderId="21" xfId="1" applyFont="1" applyFill="1" applyBorder="1" applyAlignment="1" applyProtection="1">
      <alignment horizontal="center" vertical="center" wrapText="1"/>
      <protection locked="0" hidden="1"/>
    </xf>
    <xf numFmtId="0" fontId="18" fillId="11" borderId="21" xfId="1" applyFont="1" applyFill="1" applyBorder="1" applyAlignment="1" applyProtection="1">
      <alignment horizontal="center" vertical="center" wrapText="1"/>
      <protection locked="0" hidden="1"/>
    </xf>
    <xf numFmtId="0" fontId="18" fillId="6" borderId="21" xfId="0" applyFont="1" applyFill="1" applyBorder="1" applyAlignment="1" applyProtection="1">
      <alignment horizontal="left" wrapText="1"/>
      <protection hidden="1"/>
    </xf>
    <xf numFmtId="0" fontId="18" fillId="11" borderId="21" xfId="0" applyFont="1" applyFill="1" applyBorder="1" applyAlignment="1" applyProtection="1">
      <alignment horizontal="left" wrapText="1"/>
      <protection hidden="1"/>
    </xf>
    <xf numFmtId="0" fontId="18" fillId="11" borderId="19" xfId="0" applyFont="1" applyFill="1" applyBorder="1" applyAlignment="1" applyProtection="1">
      <alignment horizontal="left" wrapText="1"/>
      <protection hidden="1"/>
    </xf>
    <xf numFmtId="0" fontId="18" fillId="6" borderId="25" xfId="1" applyFont="1" applyFill="1" applyBorder="1" applyAlignment="1" applyProtection="1">
      <alignment horizontal="center" vertical="center"/>
      <protection hidden="1"/>
    </xf>
    <xf numFmtId="0" fontId="9" fillId="11" borderId="21" xfId="0" applyFont="1" applyFill="1" applyBorder="1" applyProtection="1">
      <protection hidden="1"/>
    </xf>
    <xf numFmtId="0" fontId="0" fillId="0" borderId="0" xfId="0" applyProtection="1">
      <protection hidden="1"/>
    </xf>
    <xf numFmtId="0" fontId="14" fillId="21" borderId="0" xfId="0" applyFont="1" applyFill="1"/>
    <xf numFmtId="0" fontId="9" fillId="6" borderId="33" xfId="0" applyFont="1" applyFill="1" applyBorder="1" applyAlignment="1" applyProtection="1">
      <alignment horizontal="center"/>
      <protection hidden="1"/>
    </xf>
    <xf numFmtId="0" fontId="20" fillId="6" borderId="0" xfId="0" applyFont="1" applyFill="1" applyAlignment="1" applyProtection="1">
      <alignment horizontal="left"/>
      <protection hidden="1"/>
    </xf>
    <xf numFmtId="164" fontId="9" fillId="6" borderId="30" xfId="0" applyNumberFormat="1" applyFont="1" applyFill="1" applyBorder="1" applyAlignment="1" applyProtection="1">
      <alignment vertical="center"/>
      <protection hidden="1"/>
    </xf>
    <xf numFmtId="164" fontId="9" fillId="6" borderId="32" xfId="0" applyNumberFormat="1" applyFont="1" applyFill="1" applyBorder="1" applyAlignment="1" applyProtection="1">
      <alignment vertical="center"/>
      <protection hidden="1"/>
    </xf>
    <xf numFmtId="0" fontId="9" fillId="6" borderId="34" xfId="0" applyFont="1" applyFill="1" applyBorder="1" applyAlignment="1" applyProtection="1">
      <alignment horizontal="center"/>
      <protection hidden="1"/>
    </xf>
    <xf numFmtId="0" fontId="9" fillId="6" borderId="35" xfId="0" applyFont="1" applyFill="1" applyBorder="1" applyAlignment="1" applyProtection="1">
      <alignment horizontal="center"/>
      <protection hidden="1"/>
    </xf>
    <xf numFmtId="0" fontId="9" fillId="6" borderId="36" xfId="0" applyFont="1" applyFill="1" applyBorder="1" applyAlignment="1" applyProtection="1">
      <alignment horizontal="center"/>
      <protection hidden="1"/>
    </xf>
    <xf numFmtId="0" fontId="9" fillId="6" borderId="37" xfId="0" applyFont="1" applyFill="1" applyBorder="1" applyAlignment="1" applyProtection="1">
      <alignment horizontal="center"/>
      <protection hidden="1"/>
    </xf>
    <xf numFmtId="0" fontId="9" fillId="0" borderId="38" xfId="0" applyFont="1" applyBorder="1" applyAlignment="1" applyProtection="1">
      <alignment horizontal="center"/>
      <protection hidden="1"/>
    </xf>
    <xf numFmtId="14" fontId="0" fillId="6" borderId="40" xfId="0" applyNumberFormat="1" applyFill="1" applyBorder="1" applyAlignment="1">
      <alignment horizontal="center"/>
    </xf>
    <xf numFmtId="0" fontId="16" fillId="3" borderId="10" xfId="1" applyFont="1" applyFill="1" applyBorder="1" applyAlignment="1" applyProtection="1">
      <alignment horizontal="center" vertical="top" wrapText="1"/>
      <protection hidden="1"/>
    </xf>
    <xf numFmtId="0" fontId="0" fillId="11" borderId="40" xfId="0" applyFill="1" applyBorder="1" applyAlignment="1">
      <alignment horizontal="center"/>
    </xf>
    <xf numFmtId="0" fontId="0" fillId="11" borderId="40" xfId="0" applyFill="1" applyBorder="1"/>
    <xf numFmtId="0" fontId="14" fillId="6" borderId="0" xfId="0" applyFont="1" applyFill="1" applyAlignment="1" applyProtection="1">
      <alignment horizontal="left" wrapText="1"/>
      <protection hidden="1"/>
    </xf>
    <xf numFmtId="0" fontId="9" fillId="0" borderId="29" xfId="0" applyFont="1" applyBorder="1" applyAlignment="1" applyProtection="1">
      <alignment horizontal="left" wrapText="1"/>
      <protection hidden="1"/>
    </xf>
    <xf numFmtId="0" fontId="9" fillId="0" borderId="41" xfId="0" applyFont="1" applyBorder="1" applyAlignment="1" applyProtection="1">
      <alignment horizontal="left"/>
      <protection hidden="1"/>
    </xf>
    <xf numFmtId="0" fontId="9" fillId="0" borderId="29" xfId="0" applyFont="1" applyBorder="1" applyAlignment="1" applyProtection="1">
      <alignment horizontal="left"/>
      <protection hidden="1"/>
    </xf>
    <xf numFmtId="0" fontId="20" fillId="10" borderId="0" xfId="0" applyFont="1" applyFill="1" applyAlignment="1" applyProtection="1">
      <alignment horizontal="left"/>
      <protection hidden="1"/>
    </xf>
    <xf numFmtId="0" fontId="9" fillId="6" borderId="31" xfId="0" applyFont="1" applyFill="1" applyBorder="1" applyAlignment="1" applyProtection="1">
      <alignment horizontal="left"/>
      <protection hidden="1"/>
    </xf>
    <xf numFmtId="0" fontId="9" fillId="6" borderId="53" xfId="0" applyFont="1" applyFill="1" applyBorder="1" applyAlignment="1" applyProtection="1">
      <alignment horizontal="left"/>
      <protection hidden="1"/>
    </xf>
    <xf numFmtId="0" fontId="9" fillId="6" borderId="39" xfId="0" applyFont="1" applyFill="1" applyBorder="1" applyAlignment="1" applyProtection="1">
      <alignment horizontal="left"/>
      <protection hidden="1"/>
    </xf>
    <xf numFmtId="0" fontId="9" fillId="6" borderId="78" xfId="0" applyFont="1" applyFill="1" applyBorder="1" applyAlignment="1" applyProtection="1">
      <alignment horizontal="left"/>
      <protection hidden="1"/>
    </xf>
    <xf numFmtId="0" fontId="9" fillId="6" borderId="0" xfId="0" applyFont="1" applyFill="1" applyAlignment="1" applyProtection="1">
      <alignment horizontal="center"/>
      <protection hidden="1"/>
    </xf>
    <xf numFmtId="0" fontId="9" fillId="6" borderId="40" xfId="0" applyFont="1" applyFill="1" applyBorder="1" applyAlignment="1" applyProtection="1">
      <alignment horizontal="center"/>
      <protection hidden="1"/>
    </xf>
    <xf numFmtId="0" fontId="9" fillId="6" borderId="0" xfId="0" applyFont="1" applyFill="1" applyAlignment="1" applyProtection="1">
      <alignment horizontal="left" wrapText="1"/>
      <protection hidden="1"/>
    </xf>
    <xf numFmtId="0" fontId="15" fillId="3" borderId="8" xfId="1" applyFont="1" applyFill="1" applyBorder="1" applyAlignment="1" applyProtection="1">
      <alignment horizontal="left" vertical="top" wrapText="1"/>
      <protection hidden="1"/>
    </xf>
    <xf numFmtId="0" fontId="15" fillId="3" borderId="9" xfId="1" applyFont="1" applyFill="1" applyBorder="1" applyAlignment="1" applyProtection="1">
      <alignment horizontal="left" vertical="top" wrapText="1"/>
      <protection hidden="1"/>
    </xf>
    <xf numFmtId="0" fontId="9" fillId="0" borderId="24"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0" fontId="18" fillId="4" borderId="50" xfId="1" applyFont="1" applyFill="1" applyBorder="1" applyAlignment="1" applyProtection="1">
      <alignment horizontal="center" vertical="center" wrapText="1"/>
      <protection locked="0" hidden="1"/>
    </xf>
    <xf numFmtId="0" fontId="18" fillId="4" borderId="51" xfId="1" applyFont="1" applyFill="1" applyBorder="1" applyAlignment="1" applyProtection="1">
      <alignment horizontal="center" vertical="center" wrapText="1"/>
      <protection locked="0" hidden="1"/>
    </xf>
    <xf numFmtId="0" fontId="15" fillId="5" borderId="40" xfId="1" applyFont="1" applyFill="1" applyBorder="1" applyAlignment="1" applyProtection="1">
      <alignment horizontal="left" vertical="top" wrapText="1"/>
      <protection hidden="1"/>
    </xf>
    <xf numFmtId="0" fontId="15" fillId="6" borderId="14" xfId="1" applyFont="1" applyFill="1" applyBorder="1" applyAlignment="1" applyProtection="1">
      <alignment horizontal="left" wrapText="1"/>
      <protection hidden="1"/>
    </xf>
    <xf numFmtId="0" fontId="15" fillId="6" borderId="0" xfId="1" applyFont="1" applyFill="1" applyAlignment="1" applyProtection="1">
      <alignment horizontal="left" wrapText="1"/>
      <protection hidden="1"/>
    </xf>
    <xf numFmtId="0" fontId="15" fillId="0" borderId="11" xfId="1" applyFont="1" applyBorder="1" applyAlignment="1" applyProtection="1">
      <alignment horizontal="center" vertical="top" wrapText="1"/>
      <protection hidden="1"/>
    </xf>
    <xf numFmtId="0" fontId="15" fillId="11" borderId="14" xfId="1" applyFont="1" applyFill="1" applyBorder="1" applyAlignment="1" applyProtection="1">
      <alignment horizontal="center" vertical="top" wrapText="1"/>
      <protection hidden="1"/>
    </xf>
    <xf numFmtId="0" fontId="15" fillId="19" borderId="11" xfId="1" applyFont="1" applyFill="1" applyBorder="1" applyAlignment="1" applyProtection="1">
      <alignment horizontal="center" vertical="center" wrapText="1"/>
      <protection hidden="1"/>
    </xf>
    <xf numFmtId="0" fontId="18" fillId="6" borderId="50" xfId="1" applyFont="1" applyFill="1" applyBorder="1" applyAlignment="1" applyProtection="1">
      <alignment horizontal="center" vertical="center" wrapText="1"/>
      <protection hidden="1"/>
    </xf>
    <xf numFmtId="0" fontId="18" fillId="6" borderId="51" xfId="1" applyFont="1" applyFill="1" applyBorder="1" applyAlignment="1" applyProtection="1">
      <alignment horizontal="center" vertical="center" wrapText="1"/>
      <protection hidden="1"/>
    </xf>
    <xf numFmtId="0" fontId="15" fillId="5" borderId="41" xfId="1" applyFont="1" applyFill="1" applyBorder="1" applyAlignment="1" applyProtection="1">
      <alignment horizontal="left" wrapText="1"/>
      <protection hidden="1"/>
    </xf>
    <xf numFmtId="0" fontId="15" fillId="5" borderId="52" xfId="1" applyFont="1" applyFill="1" applyBorder="1" applyAlignment="1" applyProtection="1">
      <alignment horizontal="left" wrapText="1"/>
      <protection hidden="1"/>
    </xf>
    <xf numFmtId="0" fontId="10" fillId="6" borderId="0" xfId="0" applyFont="1" applyFill="1" applyAlignment="1" applyProtection="1">
      <alignment horizontal="left" wrapText="1"/>
      <protection hidden="1"/>
    </xf>
    <xf numFmtId="0" fontId="18" fillId="11" borderId="48" xfId="1" applyFont="1" applyFill="1" applyBorder="1" applyAlignment="1" applyProtection="1">
      <alignment horizontal="center" vertical="top" wrapText="1"/>
      <protection hidden="1"/>
    </xf>
    <xf numFmtId="0" fontId="15" fillId="11" borderId="21" xfId="1" applyFont="1" applyFill="1" applyBorder="1" applyAlignment="1" applyProtection="1">
      <alignment horizontal="center" vertical="center" wrapText="1"/>
      <protection hidden="1"/>
    </xf>
    <xf numFmtId="0" fontId="9" fillId="6" borderId="0" xfId="0" applyFont="1" applyFill="1" applyAlignment="1" applyProtection="1">
      <alignment horizontal="center" vertical="center"/>
      <protection hidden="1"/>
    </xf>
    <xf numFmtId="0" fontId="9" fillId="6" borderId="33" xfId="0" applyFont="1" applyFill="1" applyBorder="1" applyAlignment="1" applyProtection="1">
      <alignment horizontal="center"/>
      <protection hidden="1"/>
    </xf>
    <xf numFmtId="0" fontId="9" fillId="6" borderId="67" xfId="0" applyFont="1" applyFill="1" applyBorder="1" applyAlignment="1" applyProtection="1">
      <alignment horizontal="center"/>
      <protection hidden="1"/>
    </xf>
    <xf numFmtId="0" fontId="9" fillId="6" borderId="33" xfId="0" applyFont="1" applyFill="1" applyBorder="1" applyAlignment="1" applyProtection="1">
      <alignment horizontal="center" vertical="center"/>
      <protection hidden="1"/>
    </xf>
    <xf numFmtId="0" fontId="9" fillId="6" borderId="67" xfId="0" applyFont="1" applyFill="1" applyBorder="1" applyAlignment="1" applyProtection="1">
      <alignment horizontal="center" vertical="center"/>
      <protection hidden="1"/>
    </xf>
    <xf numFmtId="164" fontId="9" fillId="6" borderId="69" xfId="0" applyNumberFormat="1" applyFont="1" applyFill="1" applyBorder="1" applyAlignment="1" applyProtection="1">
      <alignment horizontal="center" vertical="center"/>
      <protection hidden="1"/>
    </xf>
    <xf numFmtId="164" fontId="9" fillId="6" borderId="70" xfId="0" applyNumberFormat="1" applyFont="1" applyFill="1" applyBorder="1" applyAlignment="1" applyProtection="1">
      <alignment horizontal="center" vertical="center"/>
      <protection hidden="1"/>
    </xf>
    <xf numFmtId="0" fontId="12" fillId="6" borderId="0" xfId="0" applyFont="1" applyFill="1" applyAlignment="1" applyProtection="1">
      <alignment horizontal="center" vertical="top" wrapText="1"/>
      <protection hidden="1"/>
    </xf>
    <xf numFmtId="0" fontId="9" fillId="6" borderId="66" xfId="0" applyFont="1" applyFill="1" applyBorder="1" applyAlignment="1" applyProtection="1">
      <alignment horizontal="center" vertical="center"/>
      <protection hidden="1"/>
    </xf>
    <xf numFmtId="0" fontId="9" fillId="6" borderId="32" xfId="0" applyFont="1" applyFill="1" applyBorder="1" applyAlignment="1" applyProtection="1">
      <alignment horizontal="left"/>
      <protection hidden="1"/>
    </xf>
    <xf numFmtId="0" fontId="9" fillId="6" borderId="29" xfId="0" applyFont="1" applyFill="1" applyBorder="1" applyAlignment="1" applyProtection="1">
      <alignment horizontal="left"/>
      <protection hidden="1"/>
    </xf>
    <xf numFmtId="0" fontId="9" fillId="6" borderId="41" xfId="0" applyFont="1" applyFill="1" applyBorder="1" applyAlignment="1" applyProtection="1">
      <alignment horizontal="left"/>
      <protection hidden="1"/>
    </xf>
    <xf numFmtId="0" fontId="9" fillId="0" borderId="27" xfId="0" applyFont="1" applyBorder="1" applyAlignment="1" applyProtection="1">
      <alignment horizontal="center" vertical="center"/>
      <protection hidden="1"/>
    </xf>
    <xf numFmtId="0" fontId="9" fillId="0" borderId="68" xfId="0" applyFont="1" applyBorder="1" applyAlignment="1" applyProtection="1">
      <alignment horizontal="center" vertical="center"/>
      <protection hidden="1"/>
    </xf>
    <xf numFmtId="0" fontId="9" fillId="0" borderId="29" xfId="0" applyFont="1" applyBorder="1" applyAlignment="1" applyProtection="1">
      <alignment horizontal="center" vertical="center"/>
      <protection hidden="1"/>
    </xf>
    <xf numFmtId="0" fontId="9" fillId="0" borderId="41" xfId="0" applyFont="1" applyBorder="1" applyAlignment="1" applyProtection="1">
      <alignment horizontal="center" vertical="center"/>
      <protection hidden="1"/>
    </xf>
    <xf numFmtId="0" fontId="9" fillId="6" borderId="27" xfId="0" applyFont="1" applyFill="1" applyBorder="1" applyAlignment="1" applyProtection="1">
      <alignment horizontal="center"/>
      <protection hidden="1"/>
    </xf>
    <xf numFmtId="0" fontId="9" fillId="6" borderId="28" xfId="0" applyFont="1" applyFill="1" applyBorder="1" applyAlignment="1" applyProtection="1">
      <alignment horizontal="center"/>
      <protection hidden="1"/>
    </xf>
    <xf numFmtId="0" fontId="9" fillId="0" borderId="28" xfId="0" applyFont="1" applyBorder="1" applyAlignment="1" applyProtection="1">
      <alignment horizontal="center" vertical="center"/>
      <protection hidden="1"/>
    </xf>
    <xf numFmtId="164" fontId="9" fillId="6" borderId="29" xfId="0" applyNumberFormat="1" applyFont="1" applyFill="1" applyBorder="1" applyAlignment="1" applyProtection="1">
      <alignment horizontal="center" vertical="center"/>
      <protection hidden="1"/>
    </xf>
    <xf numFmtId="164" fontId="9" fillId="6" borderId="31" xfId="0" applyNumberFormat="1" applyFont="1" applyFill="1" applyBorder="1" applyAlignment="1" applyProtection="1">
      <alignment horizontal="center" vertical="center"/>
      <protection hidden="1"/>
    </xf>
    <xf numFmtId="0" fontId="9" fillId="6" borderId="0" xfId="0" applyFont="1" applyFill="1" applyAlignment="1" applyProtection="1">
      <alignment horizontal="left" vertical="top" wrapText="1"/>
      <protection hidden="1"/>
    </xf>
    <xf numFmtId="0" fontId="10" fillId="6" borderId="0" xfId="0" applyFont="1" applyFill="1" applyAlignment="1" applyProtection="1">
      <alignment horizontal="left" vertical="top" wrapText="1"/>
      <protection hidden="1"/>
    </xf>
    <xf numFmtId="0" fontId="12" fillId="6" borderId="0" xfId="0" applyFont="1" applyFill="1" applyAlignment="1" applyProtection="1">
      <alignment horizontal="center" wrapText="1"/>
      <protection hidden="1"/>
    </xf>
    <xf numFmtId="0" fontId="18" fillId="4" borderId="49" xfId="1" applyFont="1" applyFill="1" applyBorder="1" applyAlignment="1" applyProtection="1">
      <alignment horizontal="center" vertical="center" wrapText="1"/>
      <protection locked="0" hidden="1"/>
    </xf>
    <xf numFmtId="0" fontId="9" fillId="0" borderId="23" xfId="0" applyFont="1" applyBorder="1" applyAlignment="1" applyProtection="1">
      <alignment horizontal="center" vertical="center"/>
      <protection locked="0" hidden="1"/>
    </xf>
    <xf numFmtId="0" fontId="9" fillId="0" borderId="24" xfId="0" applyFont="1" applyBorder="1" applyAlignment="1" applyProtection="1">
      <alignment horizontal="center" vertical="center"/>
      <protection locked="0" hidden="1"/>
    </xf>
    <xf numFmtId="0" fontId="9" fillId="0" borderId="26" xfId="0" applyFont="1" applyBorder="1" applyAlignment="1" applyProtection="1">
      <alignment horizontal="center" vertical="center"/>
      <protection locked="0" hidden="1"/>
    </xf>
    <xf numFmtId="0" fontId="13" fillId="6" borderId="0" xfId="0" applyFont="1" applyFill="1" applyAlignment="1" applyProtection="1">
      <alignment horizontal="left" vertical="center"/>
      <protection hidden="1"/>
    </xf>
    <xf numFmtId="0" fontId="20" fillId="9" borderId="0" xfId="0" applyFont="1" applyFill="1" applyAlignment="1" applyProtection="1">
      <alignment horizontal="left"/>
      <protection hidden="1"/>
    </xf>
    <xf numFmtId="0" fontId="18" fillId="4" borderId="48" xfId="1" applyFont="1" applyFill="1" applyBorder="1" applyAlignment="1" applyProtection="1">
      <alignment horizontal="center" vertical="center" wrapText="1"/>
      <protection hidden="1"/>
    </xf>
    <xf numFmtId="0" fontId="15" fillId="2" borderId="2" xfId="1" applyFont="1" applyFill="1" applyBorder="1" applyAlignment="1" applyProtection="1">
      <alignment horizontal="left" vertical="top" wrapText="1"/>
      <protection hidden="1"/>
    </xf>
    <xf numFmtId="0" fontId="15" fillId="2" borderId="3" xfId="1" applyFont="1" applyFill="1" applyBorder="1" applyAlignment="1" applyProtection="1">
      <alignment horizontal="left" vertical="top" wrapText="1"/>
      <protection hidden="1"/>
    </xf>
    <xf numFmtId="0" fontId="15" fillId="3" borderId="5" xfId="1" applyFont="1" applyFill="1" applyBorder="1" applyAlignment="1" applyProtection="1">
      <alignment horizontal="left" vertical="top" wrapText="1"/>
      <protection hidden="1"/>
    </xf>
    <xf numFmtId="0" fontId="15" fillId="3" borderId="6" xfId="1" applyFont="1" applyFill="1" applyBorder="1" applyAlignment="1" applyProtection="1">
      <alignment horizontal="left" vertical="top" wrapText="1"/>
      <protection hidden="1"/>
    </xf>
    <xf numFmtId="0" fontId="18" fillId="3" borderId="8" xfId="1" applyFont="1" applyFill="1" applyBorder="1" applyAlignment="1" applyProtection="1">
      <alignment horizontal="left" vertical="top" wrapText="1"/>
      <protection hidden="1"/>
    </xf>
    <xf numFmtId="0" fontId="18" fillId="3" borderId="9" xfId="1" applyFont="1" applyFill="1" applyBorder="1" applyAlignment="1" applyProtection="1">
      <alignment horizontal="left" vertical="top" wrapText="1"/>
      <protection hidden="1"/>
    </xf>
    <xf numFmtId="0" fontId="15" fillId="0" borderId="11" xfId="1" applyFont="1" applyBorder="1" applyAlignment="1" applyProtection="1">
      <alignment horizontal="left" vertical="top" wrapText="1"/>
      <protection hidden="1"/>
    </xf>
    <xf numFmtId="0" fontId="18" fillId="3" borderId="14" xfId="1" applyFont="1" applyFill="1" applyBorder="1" applyAlignment="1" applyProtection="1">
      <alignment horizontal="left" vertical="top" wrapText="1"/>
      <protection hidden="1"/>
    </xf>
    <xf numFmtId="0" fontId="18" fillId="3" borderId="15" xfId="1" applyFont="1" applyFill="1" applyBorder="1" applyAlignment="1" applyProtection="1">
      <alignment horizontal="left" vertical="top" wrapText="1"/>
      <protection hidden="1"/>
    </xf>
    <xf numFmtId="0" fontId="9" fillId="11" borderId="0" xfId="0" applyFont="1" applyFill="1" applyAlignment="1" applyProtection="1">
      <alignment horizontal="center" vertical="center"/>
      <protection locked="0" hidden="1"/>
    </xf>
    <xf numFmtId="0" fontId="9" fillId="11" borderId="25" xfId="0" applyFont="1" applyFill="1" applyBorder="1" applyAlignment="1" applyProtection="1">
      <alignment horizontal="center" vertical="center"/>
      <protection locked="0" hidden="1"/>
    </xf>
    <xf numFmtId="0" fontId="9" fillId="6" borderId="25" xfId="0" applyFont="1" applyFill="1" applyBorder="1" applyAlignment="1" applyProtection="1">
      <alignment horizontal="center" vertical="center"/>
      <protection hidden="1"/>
    </xf>
    <xf numFmtId="0" fontId="18" fillId="4" borderId="20" xfId="1" applyFont="1" applyFill="1" applyBorder="1" applyAlignment="1" applyProtection="1">
      <alignment horizontal="center" vertical="center" wrapText="1"/>
      <protection locked="0" hidden="1"/>
    </xf>
    <xf numFmtId="0" fontId="18" fillId="4" borderId="25" xfId="1" applyFont="1" applyFill="1" applyBorder="1" applyAlignment="1" applyProtection="1">
      <alignment horizontal="center" vertical="center" wrapText="1"/>
      <protection locked="0" hidden="1"/>
    </xf>
    <xf numFmtId="0" fontId="9" fillId="0" borderId="20" xfId="0" applyFont="1" applyBorder="1" applyAlignment="1" applyProtection="1">
      <alignment horizontal="center" vertical="center"/>
      <protection locked="0" hidden="1"/>
    </xf>
    <xf numFmtId="0" fontId="9" fillId="0" borderId="25" xfId="0" applyFont="1" applyBorder="1" applyAlignment="1" applyProtection="1">
      <alignment horizontal="center" vertical="center"/>
      <protection locked="0" hidden="1"/>
    </xf>
    <xf numFmtId="0" fontId="18" fillId="4" borderId="0" xfId="1" applyFont="1" applyFill="1" applyAlignment="1" applyProtection="1">
      <alignment horizontal="center" vertical="center" wrapText="1"/>
      <protection hidden="1"/>
    </xf>
    <xf numFmtId="0" fontId="18" fillId="4" borderId="25" xfId="1" applyFont="1" applyFill="1" applyBorder="1" applyAlignment="1" applyProtection="1">
      <alignment horizontal="center" vertical="center" wrapText="1"/>
      <protection hidden="1"/>
    </xf>
    <xf numFmtId="0" fontId="18" fillId="6" borderId="0" xfId="1" applyFont="1" applyFill="1" applyAlignment="1" applyProtection="1">
      <alignment horizontal="center" vertical="center" wrapText="1"/>
      <protection locked="0" hidden="1"/>
    </xf>
    <xf numFmtId="0" fontId="18" fillId="6" borderId="25" xfId="1" applyFont="1" applyFill="1" applyBorder="1" applyAlignment="1" applyProtection="1">
      <alignment horizontal="center" vertical="center" wrapText="1"/>
      <protection locked="0" hidden="1"/>
    </xf>
    <xf numFmtId="0" fontId="15" fillId="3" borderId="17" xfId="1" applyFont="1" applyFill="1" applyBorder="1" applyAlignment="1" applyProtection="1">
      <alignment horizontal="left" vertical="top" wrapText="1"/>
      <protection hidden="1"/>
    </xf>
    <xf numFmtId="0" fontId="15" fillId="3" borderId="18" xfId="1" applyFont="1" applyFill="1" applyBorder="1" applyAlignment="1" applyProtection="1">
      <alignment horizontal="left" vertical="top" wrapText="1"/>
      <protection hidden="1"/>
    </xf>
    <xf numFmtId="0" fontId="15" fillId="3" borderId="8" xfId="1" applyFont="1" applyFill="1" applyBorder="1" applyAlignment="1" applyProtection="1">
      <alignment horizontal="left" vertical="center" wrapText="1"/>
      <protection hidden="1"/>
    </xf>
    <xf numFmtId="0" fontId="15" fillId="3" borderId="9" xfId="1" applyFont="1" applyFill="1" applyBorder="1" applyAlignment="1" applyProtection="1">
      <alignment horizontal="left" vertical="center" wrapText="1"/>
      <protection hidden="1"/>
    </xf>
    <xf numFmtId="0" fontId="0" fillId="11" borderId="41" xfId="0" applyFill="1" applyBorder="1" applyAlignment="1">
      <alignment horizontal="center"/>
    </xf>
    <xf numFmtId="0" fontId="0" fillId="11" borderId="58" xfId="0" applyFill="1" applyBorder="1" applyAlignment="1">
      <alignment horizontal="center"/>
    </xf>
    <xf numFmtId="0" fontId="0" fillId="11" borderId="52" xfId="0" applyFill="1" applyBorder="1" applyAlignment="1">
      <alignment horizontal="center"/>
    </xf>
    <xf numFmtId="0" fontId="0" fillId="20" borderId="41" xfId="0" applyFill="1" applyBorder="1" applyAlignment="1">
      <alignment horizontal="center"/>
    </xf>
    <xf numFmtId="0" fontId="0" fillId="20" borderId="58" xfId="0" applyFill="1" applyBorder="1" applyAlignment="1">
      <alignment horizontal="center"/>
    </xf>
    <xf numFmtId="0" fontId="0" fillId="20" borderId="52" xfId="0" applyFill="1" applyBorder="1" applyAlignment="1">
      <alignment horizontal="center"/>
    </xf>
    <xf numFmtId="0" fontId="25" fillId="10" borderId="0" xfId="3" applyFont="1" applyFill="1" applyAlignment="1">
      <alignment horizontal="center" vertical="center"/>
    </xf>
    <xf numFmtId="0" fontId="0" fillId="6" borderId="22" xfId="0" applyFill="1" applyBorder="1" applyAlignment="1">
      <alignment horizontal="center" vertical="top"/>
    </xf>
    <xf numFmtId="0" fontId="0" fillId="6" borderId="21" xfId="0" applyFill="1" applyBorder="1" applyAlignment="1">
      <alignment horizontal="center" vertical="top"/>
    </xf>
    <xf numFmtId="0" fontId="0" fillId="6" borderId="19" xfId="0" applyFill="1" applyBorder="1" applyAlignment="1">
      <alignment horizontal="center" vertical="top"/>
    </xf>
    <xf numFmtId="14" fontId="0" fillId="6" borderId="22" xfId="0" applyNumberFormat="1" applyFill="1" applyBorder="1" applyAlignment="1">
      <alignment horizontal="center" vertical="top"/>
    </xf>
    <xf numFmtId="14" fontId="0" fillId="6" borderId="21" xfId="0" applyNumberFormat="1" applyFill="1" applyBorder="1" applyAlignment="1">
      <alignment horizontal="center" vertical="top"/>
    </xf>
    <xf numFmtId="14" fontId="0" fillId="6" borderId="19" xfId="0" applyNumberFormat="1" applyFill="1" applyBorder="1" applyAlignment="1">
      <alignment horizontal="center" vertical="top"/>
    </xf>
    <xf numFmtId="0" fontId="24" fillId="10" borderId="0" xfId="3" applyFont="1" applyFill="1" applyAlignment="1">
      <alignment horizontal="center" vertical="center"/>
    </xf>
    <xf numFmtId="0" fontId="9" fillId="6" borderId="31" xfId="0" applyFont="1" applyFill="1" applyBorder="1" applyAlignment="1">
      <alignment horizontal="left"/>
    </xf>
    <xf numFmtId="0" fontId="9" fillId="6" borderId="53" xfId="0" applyFont="1" applyFill="1" applyBorder="1" applyAlignment="1">
      <alignment horizontal="left"/>
    </xf>
    <xf numFmtId="0" fontId="14" fillId="15" borderId="55" xfId="0" applyFont="1" applyFill="1" applyBorder="1" applyAlignment="1">
      <alignment horizontal="center"/>
    </xf>
    <xf numFmtId="0" fontId="14" fillId="15" borderId="54" xfId="0" applyFont="1" applyFill="1" applyBorder="1" applyAlignment="1">
      <alignment horizontal="center"/>
    </xf>
    <xf numFmtId="0" fontId="14" fillId="15" borderId="57" xfId="0" applyFont="1" applyFill="1" applyBorder="1" applyAlignment="1">
      <alignment horizontal="center"/>
    </xf>
    <xf numFmtId="0" fontId="9" fillId="6" borderId="55" xfId="0" applyFont="1" applyFill="1" applyBorder="1" applyAlignment="1" applyProtection="1">
      <alignment horizontal="center" vertical="center"/>
      <protection hidden="1"/>
    </xf>
    <xf numFmtId="0" fontId="9" fillId="6" borderId="54" xfId="0" applyFont="1" applyFill="1" applyBorder="1" applyAlignment="1" applyProtection="1">
      <alignment horizontal="center" vertical="center"/>
      <protection hidden="1"/>
    </xf>
    <xf numFmtId="0" fontId="9" fillId="6" borderId="56" xfId="0" applyFont="1" applyFill="1" applyBorder="1" applyAlignment="1" applyProtection="1">
      <alignment horizontal="center" vertical="center"/>
      <protection hidden="1"/>
    </xf>
    <xf numFmtId="0" fontId="9" fillId="6" borderId="59" xfId="0" applyFont="1" applyFill="1" applyBorder="1" applyAlignment="1" applyProtection="1">
      <alignment horizontal="center" vertical="center"/>
      <protection hidden="1"/>
    </xf>
    <xf numFmtId="0" fontId="9" fillId="6" borderId="49" xfId="0" applyFont="1" applyFill="1" applyBorder="1" applyAlignment="1" applyProtection="1">
      <alignment horizontal="left"/>
      <protection hidden="1"/>
    </xf>
    <xf numFmtId="0" fontId="9" fillId="18" borderId="55" xfId="0" applyFont="1" applyFill="1" applyBorder="1" applyAlignment="1" applyProtection="1">
      <alignment horizontal="center" vertical="center"/>
      <protection hidden="1"/>
    </xf>
    <xf numFmtId="0" fontId="9" fillId="18" borderId="54" xfId="0" applyFont="1" applyFill="1" applyBorder="1" applyAlignment="1" applyProtection="1">
      <alignment horizontal="center" vertical="center"/>
      <protection hidden="1"/>
    </xf>
    <xf numFmtId="0" fontId="9" fillId="16" borderId="46" xfId="0" applyFont="1" applyFill="1" applyBorder="1" applyAlignment="1" applyProtection="1">
      <alignment horizontal="center"/>
      <protection hidden="1"/>
    </xf>
    <xf numFmtId="0" fontId="9" fillId="16" borderId="60" xfId="0" applyFont="1" applyFill="1" applyBorder="1" applyAlignment="1" applyProtection="1">
      <alignment horizontal="center"/>
      <protection hidden="1"/>
    </xf>
    <xf numFmtId="0" fontId="9" fillId="16" borderId="61" xfId="0" applyFont="1" applyFill="1" applyBorder="1" applyAlignment="1" applyProtection="1">
      <alignment horizontal="center"/>
      <protection hidden="1"/>
    </xf>
    <xf numFmtId="0" fontId="9" fillId="17" borderId="54" xfId="0" applyFont="1" applyFill="1" applyBorder="1" applyAlignment="1" applyProtection="1">
      <alignment horizontal="center"/>
      <protection hidden="1"/>
    </xf>
    <xf numFmtId="0" fontId="9" fillId="17" borderId="57" xfId="0" applyFont="1" applyFill="1" applyBorder="1" applyAlignment="1" applyProtection="1">
      <alignment horizontal="center"/>
      <protection hidden="1"/>
    </xf>
    <xf numFmtId="0" fontId="14" fillId="6" borderId="40" xfId="0" applyFont="1" applyFill="1" applyBorder="1" applyAlignment="1">
      <alignment horizontal="center" wrapText="1"/>
    </xf>
    <xf numFmtId="0" fontId="14" fillId="6" borderId="40" xfId="0" applyFont="1" applyFill="1" applyBorder="1" applyAlignment="1">
      <alignment horizontal="center"/>
    </xf>
    <xf numFmtId="0" fontId="14" fillId="13" borderId="40" xfId="0" applyFont="1" applyFill="1" applyBorder="1" applyAlignment="1">
      <alignment horizontal="center"/>
    </xf>
    <xf numFmtId="0" fontId="14" fillId="13" borderId="22" xfId="0" applyFont="1" applyFill="1" applyBorder="1" applyAlignment="1">
      <alignment horizontal="center"/>
    </xf>
    <xf numFmtId="0" fontId="14" fillId="6" borderId="41" xfId="0" applyFont="1" applyFill="1" applyBorder="1" applyAlignment="1">
      <alignment horizontal="center"/>
    </xf>
    <xf numFmtId="0" fontId="14" fillId="6" borderId="58" xfId="0" applyFont="1" applyFill="1" applyBorder="1" applyAlignment="1">
      <alignment horizontal="center"/>
    </xf>
    <xf numFmtId="0" fontId="14" fillId="6" borderId="52" xfId="0" applyFont="1" applyFill="1" applyBorder="1" applyAlignment="1">
      <alignment horizontal="center"/>
    </xf>
    <xf numFmtId="0" fontId="14" fillId="14" borderId="40" xfId="0" applyFont="1" applyFill="1" applyBorder="1" applyAlignment="1" applyProtection="1">
      <alignment horizontal="center"/>
      <protection hidden="1"/>
    </xf>
    <xf numFmtId="44" fontId="14" fillId="14" borderId="40" xfId="4" applyFont="1" applyFill="1" applyBorder="1" applyAlignment="1" applyProtection="1">
      <alignment horizontal="center"/>
      <protection hidden="1"/>
    </xf>
  </cellXfs>
  <cellStyles count="5">
    <cellStyle name="Currency" xfId="4" builtinId="4"/>
    <cellStyle name="Hyperlink" xfId="3" builtinId="8"/>
    <cellStyle name="Normal" xfId="0" builtinId="0"/>
    <cellStyle name="Normal 2" xfId="1" xr:uid="{4BA4DFEC-1380-4E5E-8FFD-5E1E788A7915}"/>
    <cellStyle name="Percent" xfId="2" builtinId="5"/>
  </cellStyles>
  <dxfs count="95">
    <dxf>
      <numFmt numFmtId="164" formatCode="_-[$€-2]\ * #,##0.00_-;\-[$€-2]\ * #,##0.00_-;_-[$€-2]\ * &quot;-&quot;??_-;_-@_-"/>
    </dxf>
    <dxf>
      <numFmt numFmtId="173" formatCode="_-[$£-809]* #,##0.00_-;\-[$£-809]* #,##0.00_-;_-[$£-809]* &quot;-&quot;??_-;_-@_-"/>
    </dxf>
    <dxf>
      <numFmt numFmtId="169" formatCode="_-[$$-409]* #,##0.00_ ;_-[$$-409]* \-#,##0.00\ ;_-[$$-409]* &quot;-&quot;??_ ;_-@_ "/>
    </dxf>
    <dxf>
      <numFmt numFmtId="174" formatCode="&quot;€&quot;\ #,##0.00"/>
    </dxf>
    <dxf>
      <numFmt numFmtId="175" formatCode="[$$-409]#,##0.00"/>
    </dxf>
    <dxf>
      <numFmt numFmtId="167" formatCode="[$€-2]\ #,##0.00"/>
    </dxf>
    <dxf>
      <numFmt numFmtId="176" formatCode="&quot;£&quot;#,##0.00"/>
    </dxf>
    <dxf>
      <border>
        <left style="thin">
          <color auto="1"/>
        </left>
        <right style="thin">
          <color auto="1"/>
        </right>
        <top style="thin">
          <color auto="1"/>
        </top>
        <bottom style="thin">
          <color auto="1"/>
        </bottom>
        <vertical/>
        <horizontal/>
      </border>
    </dxf>
    <dxf>
      <fill>
        <patternFill>
          <bgColor rgb="FFFFC000"/>
        </patternFill>
      </fill>
    </dxf>
    <dxf>
      <font>
        <color theme="0"/>
      </font>
    </dxf>
    <dxf>
      <font>
        <b/>
        <i val="0"/>
        <color rgb="FFFF0000"/>
      </font>
    </dxf>
    <dxf>
      <font>
        <color theme="0"/>
      </font>
      <fill>
        <patternFill>
          <bgColor theme="0"/>
        </patternFill>
      </fill>
    </dxf>
    <dxf>
      <font>
        <color theme="0"/>
      </font>
    </dxf>
    <dxf>
      <fill>
        <patternFill>
          <bgColor rgb="FFFFC000"/>
        </patternFill>
      </fill>
    </dxf>
    <dxf>
      <fill>
        <patternFill>
          <bgColor theme="6" tint="0.79998168889431442"/>
        </patternFill>
      </fill>
    </dxf>
    <dxf>
      <font>
        <color theme="0"/>
      </font>
      <fill>
        <patternFill>
          <bgColor theme="0"/>
        </patternFill>
      </fill>
    </dxf>
    <dxf>
      <fill>
        <patternFill>
          <bgColor rgb="FFFFC000"/>
        </patternFill>
      </fill>
    </dxf>
    <dxf>
      <font>
        <color theme="0"/>
      </font>
    </dxf>
    <dxf>
      <fill>
        <patternFill>
          <bgColor rgb="FFFFC000"/>
        </patternFill>
      </fill>
    </dxf>
    <dxf>
      <fill>
        <patternFill>
          <bgColor rgb="FFFFC000"/>
        </patternFill>
      </fill>
    </dxf>
    <dxf>
      <font>
        <color theme="0"/>
      </font>
    </dxf>
    <dxf>
      <fill>
        <patternFill>
          <bgColor rgb="FFFFC000"/>
        </patternFill>
      </fill>
    </dxf>
    <dxf>
      <font>
        <color theme="0"/>
      </font>
    </dxf>
    <dxf>
      <fill>
        <patternFill>
          <bgColor rgb="FFFFC000"/>
        </patternFill>
      </fill>
    </dxf>
    <dxf>
      <font>
        <color theme="0"/>
      </font>
    </dxf>
    <dxf>
      <fill>
        <patternFill>
          <bgColor rgb="FFFFC000"/>
        </patternFill>
      </fill>
    </dxf>
    <dxf>
      <font>
        <color theme="0"/>
      </font>
    </dxf>
    <dxf>
      <fill>
        <patternFill>
          <bgColor rgb="FFFFC000"/>
        </patternFill>
      </fill>
    </dxf>
    <dxf>
      <font>
        <color theme="0"/>
      </font>
    </dxf>
    <dxf>
      <font>
        <color theme="0"/>
      </font>
    </dxf>
    <dxf>
      <font>
        <color theme="0"/>
      </font>
    </dxf>
    <dxf>
      <fill>
        <patternFill>
          <bgColor rgb="FFFFC000"/>
        </patternFill>
      </fill>
    </dxf>
    <dxf>
      <fill>
        <patternFill>
          <bgColor rgb="FFFFC000"/>
        </patternFill>
      </fill>
    </dxf>
    <dxf>
      <font>
        <color theme="0"/>
      </font>
      <fill>
        <patternFill patternType="none">
          <bgColor auto="1"/>
        </patternFill>
      </fill>
    </dxf>
    <dxf>
      <font>
        <color theme="0"/>
      </font>
    </dxf>
    <dxf>
      <fill>
        <patternFill>
          <bgColor rgb="FFFFC000"/>
        </patternFill>
      </fill>
    </dxf>
    <dxf>
      <fill>
        <patternFill>
          <bgColor rgb="FFFFFF00"/>
        </patternFill>
      </fill>
    </dxf>
    <dxf>
      <font>
        <color theme="0"/>
      </font>
    </dxf>
    <dxf>
      <fill>
        <patternFill>
          <bgColor rgb="FFFFC000"/>
        </patternFill>
      </fill>
    </dxf>
    <dxf>
      <font>
        <color theme="0"/>
      </font>
    </dxf>
    <dxf>
      <numFmt numFmtId="167" formatCode="[$€-2]\ #,##0.00"/>
    </dxf>
    <dxf>
      <numFmt numFmtId="175" formatCode="[$$-409]#,##0.00"/>
    </dxf>
    <dxf>
      <numFmt numFmtId="176" formatCode="&quot;£&quot;#,##0.00"/>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rgb="FFFF0000"/>
      </font>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rgb="FFFF0000"/>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numFmt numFmtId="167" formatCode="[$€-2]\ #,##0.00"/>
    </dxf>
    <dxf>
      <numFmt numFmtId="175" formatCode="[$$-409]#,##0.00"/>
    </dxf>
    <dxf>
      <numFmt numFmtId="176" formatCode="&quot;£&quot;#,##0.00"/>
    </dxf>
    <dxf>
      <font>
        <color theme="0"/>
      </font>
      <fill>
        <patternFill>
          <bgColor rgb="FFFF0000"/>
        </patternFill>
      </fill>
    </dxf>
    <dxf>
      <font>
        <color theme="0"/>
      </font>
      <fill>
        <patternFill patternType="none">
          <bgColor auto="1"/>
        </patternFill>
      </fill>
    </dxf>
    <dxf>
      <fill>
        <patternFill>
          <bgColor rgb="FFFFC000"/>
        </patternFill>
      </fill>
      <border>
        <left style="thin">
          <color auto="1"/>
        </left>
        <right style="thin">
          <color auto="1"/>
        </right>
        <top style="thin">
          <color auto="1"/>
        </top>
        <bottom style="thin">
          <color auto="1"/>
        </bottom>
      </border>
    </dxf>
    <dxf>
      <numFmt numFmtId="34" formatCode="_-&quot;£&quot;* #,##0.00_-;\-&quot;£&quot;* #,##0.00_-;_-&quot;£&quot;* &quot;-&quot;??_-;_-@_-"/>
    </dxf>
    <dxf>
      <numFmt numFmtId="169" formatCode="_-[$$-409]* #,##0.00_ ;_-[$$-409]* \-#,##0.00\ ;_-[$$-409]* &quot;-&quot;??_ ;_-@_ "/>
    </dxf>
    <dxf>
      <numFmt numFmtId="164" formatCode="_-[$€-2]\ * #,##0.00_-;\-[$€-2]\ * #,##0.00_-;_-[$€-2]\ * &quot;-&quot;??_-;_-@_-"/>
    </dxf>
    <dxf>
      <font>
        <color theme="0"/>
      </font>
      <fill>
        <patternFill>
          <bgColor rgb="FFFF0000"/>
        </patternFill>
      </fill>
    </dxf>
    <dxf>
      <fill>
        <patternFill>
          <bgColor theme="6" tint="0.79998168889431442"/>
        </patternFill>
      </fill>
      <border>
        <left style="thin">
          <color auto="1"/>
        </left>
        <right style="thin">
          <color auto="1"/>
        </right>
        <top style="thin">
          <color auto="1"/>
        </top>
        <bottom style="thin">
          <color auto="1"/>
        </bottom>
        <vertical/>
        <horizontal/>
      </border>
    </dxf>
    <dxf>
      <numFmt numFmtId="175" formatCode="[$$-409]#,##0.00"/>
    </dxf>
    <dxf>
      <numFmt numFmtId="176" formatCode="&quot;£&quot;#,##0.00"/>
    </dxf>
    <dxf>
      <numFmt numFmtId="167" formatCode="[$€-2]\ #,##0.00"/>
    </dxf>
    <dxf>
      <font>
        <color theme="0"/>
      </font>
      <fill>
        <patternFill>
          <bgColor rgb="FFFF0000"/>
        </patternFill>
      </fill>
    </dxf>
    <dxf>
      <font>
        <color theme="0"/>
      </font>
      <fill>
        <patternFill>
          <bgColor rgb="FFFF0000"/>
        </patternFill>
      </fill>
    </dxf>
    <dxf>
      <font>
        <color theme="0"/>
      </font>
      <fill>
        <patternFill>
          <bgColor rgb="FFFF00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onnect.tdsynnex.nl/technical-community-voorinschrijvi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496364</xdr:colOff>
      <xdr:row>6</xdr:row>
      <xdr:rowOff>152144</xdr:rowOff>
    </xdr:from>
    <xdr:to>
      <xdr:col>8</xdr:col>
      <xdr:colOff>197912</xdr:colOff>
      <xdr:row>11</xdr:row>
      <xdr:rowOff>35895</xdr:rowOff>
    </xdr:to>
    <xdr:pic>
      <xdr:nvPicPr>
        <xdr:cNvPr id="3" name="Picture 2">
          <a:extLst>
            <a:ext uri="{FF2B5EF4-FFF2-40B4-BE49-F238E27FC236}">
              <a16:creationId xmlns:a16="http://schemas.microsoft.com/office/drawing/2014/main" id="{5977C3C0-E459-1801-1DEC-6AB936AA0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1197" y="152144"/>
          <a:ext cx="4792132" cy="878584"/>
        </a:xfrm>
        <a:prstGeom prst="rect">
          <a:avLst/>
        </a:prstGeom>
      </xdr:spPr>
    </xdr:pic>
    <xdr:clientData/>
  </xdr:twoCellAnchor>
  <xdr:twoCellAnchor editAs="oneCell">
    <xdr:from>
      <xdr:col>7</xdr:col>
      <xdr:colOff>1121833</xdr:colOff>
      <xdr:row>27</xdr:row>
      <xdr:rowOff>21166</xdr:rowOff>
    </xdr:from>
    <xdr:to>
      <xdr:col>7</xdr:col>
      <xdr:colOff>2243666</xdr:colOff>
      <xdr:row>31</xdr:row>
      <xdr:rowOff>190499</xdr:rowOff>
    </xdr:to>
    <xdr:pic>
      <xdr:nvPicPr>
        <xdr:cNvPr id="4" name="Picture 3">
          <a:hlinkClick xmlns:r="http://schemas.openxmlformats.org/officeDocument/2006/relationships" r:id="rId2"/>
          <a:extLst>
            <a:ext uri="{FF2B5EF4-FFF2-40B4-BE49-F238E27FC236}">
              <a16:creationId xmlns:a16="http://schemas.microsoft.com/office/drawing/2014/main" id="{76BD5967-6F99-D07D-5A4A-8A50B9CAA5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0" y="4963583"/>
          <a:ext cx="1121833" cy="1121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771525</xdr:colOff>
      <xdr:row>1</xdr:row>
      <xdr:rowOff>38100</xdr:rowOff>
    </xdr:from>
    <xdr:to>
      <xdr:col>4</xdr:col>
      <xdr:colOff>4487333</xdr:colOff>
      <xdr:row>5</xdr:row>
      <xdr:rowOff>158918</xdr:rowOff>
    </xdr:to>
    <xdr:pic>
      <xdr:nvPicPr>
        <xdr:cNvPr id="2" name="Picture 1">
          <a:extLst>
            <a:ext uri="{FF2B5EF4-FFF2-40B4-BE49-F238E27FC236}">
              <a16:creationId xmlns:a16="http://schemas.microsoft.com/office/drawing/2014/main" id="{F49272D2-42F7-4CEE-A503-3046BB4C52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1350" y="228600"/>
          <a:ext cx="4782608" cy="8828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10</xdr:col>
      <xdr:colOff>542923</xdr:colOff>
      <xdr:row>6</xdr:row>
      <xdr:rowOff>47858</xdr:rowOff>
    </xdr:to>
    <xdr:pic>
      <xdr:nvPicPr>
        <xdr:cNvPr id="2" name="Picture 1">
          <a:extLst>
            <a:ext uri="{FF2B5EF4-FFF2-40B4-BE49-F238E27FC236}">
              <a16:creationId xmlns:a16="http://schemas.microsoft.com/office/drawing/2014/main" id="{61BD6A45-57AA-4299-BF9A-3500F6C7BE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81000"/>
          <a:ext cx="4200523" cy="8098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mware.com/docs/vmw-datasheet-vsphere-product-line-comparison"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mariana.crull@tdsynnex.com" TargetMode="External"/><Relationship Id="rId1" Type="http://schemas.openxmlformats.org/officeDocument/2006/relationships/hyperlink" Target="mailto:vmware.nl@tdsynne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6BC0-1878-47E5-A27E-2CD495B6D3BC}">
  <sheetPr codeName="Sheet1">
    <tabColor theme="4"/>
  </sheetPr>
  <dimension ref="A1:AY666"/>
  <sheetViews>
    <sheetView tabSelected="1" topLeftCell="A7" zoomScale="90" zoomScaleNormal="90" workbookViewId="0">
      <selection activeCell="C12" sqref="C12"/>
    </sheetView>
  </sheetViews>
  <sheetFormatPr defaultColWidth="9.140625" defaultRowHeight="15" x14ac:dyDescent="0.2"/>
  <cols>
    <col min="1" max="1" width="9.140625" style="9"/>
    <col min="2" max="2" width="17.85546875" style="34" customWidth="1"/>
    <col min="3" max="3" width="47.85546875" style="34" customWidth="1"/>
    <col min="4" max="4" width="24.140625" style="34" customWidth="1"/>
    <col min="5" max="5" width="32.140625" style="34" customWidth="1"/>
    <col min="6" max="6" width="35.85546875" style="34" customWidth="1"/>
    <col min="7" max="7" width="27.28515625" style="34" customWidth="1"/>
    <col min="8" max="8" width="49" style="9" customWidth="1"/>
    <col min="9" max="9" width="20.7109375" style="9" customWidth="1"/>
    <col min="10" max="10" width="33.140625" style="9" customWidth="1"/>
    <col min="11" max="11" width="19.5703125" style="9" customWidth="1"/>
    <col min="12" max="12" width="23" style="9" customWidth="1"/>
    <col min="13" max="13" width="17.85546875" style="9" customWidth="1"/>
    <col min="14" max="14" width="20.5703125" style="9" customWidth="1"/>
    <col min="15" max="15" width="12.140625" style="9" customWidth="1"/>
    <col min="16" max="51" width="9.140625" style="9"/>
    <col min="52" max="16384" width="9.140625" style="34"/>
  </cols>
  <sheetData>
    <row r="1" spans="2:12" s="9" customFormat="1" hidden="1" x14ac:dyDescent="0.2"/>
    <row r="2" spans="2:12" s="9" customFormat="1" hidden="1" x14ac:dyDescent="0.2"/>
    <row r="3" spans="2:12" s="9" customFormat="1" hidden="1" x14ac:dyDescent="0.2"/>
    <row r="4" spans="2:12" s="9" customFormat="1" hidden="1" x14ac:dyDescent="0.2"/>
    <row r="5" spans="2:12" s="9" customFormat="1" hidden="1" x14ac:dyDescent="0.2"/>
    <row r="6" spans="2:12" s="9" customFormat="1" hidden="1" x14ac:dyDescent="0.2"/>
    <row r="7" spans="2:12" s="9" customFormat="1" ht="15.75" x14ac:dyDescent="0.25">
      <c r="B7" s="243" t="s">
        <v>308</v>
      </c>
      <c r="C7" s="10">
        <v>45617</v>
      </c>
    </row>
    <row r="8" spans="2:12" s="9" customFormat="1" ht="15.75" thickBot="1" x14ac:dyDescent="0.25"/>
    <row r="9" spans="2:12" s="9" customFormat="1" ht="15.75" thickBot="1" x14ac:dyDescent="0.25">
      <c r="B9" s="11" t="s">
        <v>0</v>
      </c>
      <c r="C9" s="12">
        <v>1</v>
      </c>
      <c r="E9" s="13" t="s">
        <v>1</v>
      </c>
      <c r="F9" s="14">
        <f>C9*(IF(C11&lt;16,16*C10,C10*C11))</f>
        <v>16</v>
      </c>
      <c r="H9" s="15"/>
    </row>
    <row r="10" spans="2:12" s="9" customFormat="1" ht="15.75" customHeight="1" x14ac:dyDescent="0.2">
      <c r="B10" s="16" t="s">
        <v>2</v>
      </c>
      <c r="C10" s="17">
        <v>1</v>
      </c>
      <c r="E10" s="374" t="s">
        <v>3</v>
      </c>
      <c r="F10" s="374"/>
      <c r="G10" s="374"/>
      <c r="H10" s="18"/>
    </row>
    <row r="11" spans="2:12" s="9" customFormat="1" x14ac:dyDescent="0.2">
      <c r="B11" s="16" t="s">
        <v>4</v>
      </c>
      <c r="C11" s="17">
        <v>16</v>
      </c>
      <c r="E11" s="374"/>
      <c r="F11" s="374"/>
      <c r="G11" s="374"/>
    </row>
    <row r="12" spans="2:12" s="9" customFormat="1" x14ac:dyDescent="0.2">
      <c r="B12" s="16" t="s">
        <v>5</v>
      </c>
      <c r="C12" s="19" t="s">
        <v>8</v>
      </c>
      <c r="E12" s="20" t="str">
        <f>IF(C12="yes","Amount in TiB*", "")</f>
        <v/>
      </c>
      <c r="F12" s="21">
        <v>16</v>
      </c>
    </row>
    <row r="13" spans="2:12" s="9" customFormat="1" x14ac:dyDescent="0.2">
      <c r="B13" s="16" t="s">
        <v>7</v>
      </c>
      <c r="C13" s="19" t="s">
        <v>8</v>
      </c>
      <c r="E13" s="9" t="str">
        <f>IF(C12="Yes","vSphere version","")</f>
        <v/>
      </c>
      <c r="F13" s="22" t="s">
        <v>9</v>
      </c>
      <c r="J13" s="375"/>
      <c r="K13" s="375"/>
      <c r="L13" s="375"/>
    </row>
    <row r="14" spans="2:12" s="9" customFormat="1" ht="18" customHeight="1" thickBot="1" x14ac:dyDescent="0.25">
      <c r="B14" s="24" t="s">
        <v>10</v>
      </c>
      <c r="C14" s="25" t="s">
        <v>8</v>
      </c>
      <c r="E14" s="26" t="str">
        <f>IF(C12="Yes","*This is the RAW (Bruto) capacity that is available in the cluster","")</f>
        <v/>
      </c>
      <c r="F14" s="26"/>
      <c r="G14" s="26"/>
      <c r="H14" s="380" t="s">
        <v>11</v>
      </c>
      <c r="I14" s="380"/>
      <c r="J14" s="375"/>
      <c r="K14" s="375"/>
      <c r="L14" s="375"/>
    </row>
    <row r="15" spans="2:12" s="9" customFormat="1" ht="18" customHeight="1" thickBot="1" x14ac:dyDescent="0.25">
      <c r="H15" s="27" t="s">
        <v>12</v>
      </c>
      <c r="J15" s="375"/>
      <c r="K15" s="375"/>
      <c r="L15" s="375"/>
    </row>
    <row r="16" spans="2:12" s="9" customFormat="1" ht="15.75" thickBot="1" x14ac:dyDescent="0.25">
      <c r="B16" s="28" t="s">
        <v>13</v>
      </c>
      <c r="C16" s="29" t="s">
        <v>14</v>
      </c>
      <c r="E16" s="185" t="s">
        <v>15</v>
      </c>
      <c r="H16" s="30" t="str">
        <f>VLOOKUP(H15,'Currency and Contacts'!C4:E18,2,0)</f>
        <v>vmware.nl@tdsynnex.com</v>
      </c>
      <c r="J16" s="23"/>
      <c r="K16" s="23"/>
      <c r="L16" s="23"/>
    </row>
    <row r="17" spans="2:12" s="9" customFormat="1" x14ac:dyDescent="0.2">
      <c r="C17" s="142"/>
      <c r="H17" s="32" t="str">
        <f>"Call: "&amp;VLOOKUP(H15,'Currency and Contacts'!C4:E18,3,0)</f>
        <v>Call: +31881334014</v>
      </c>
      <c r="J17" s="23"/>
      <c r="K17" s="23"/>
      <c r="L17" s="23"/>
    </row>
    <row r="18" spans="2:12" s="9" customFormat="1" ht="18" customHeight="1" x14ac:dyDescent="0.2">
      <c r="J18" s="23"/>
      <c r="K18" s="23"/>
      <c r="L18" s="23"/>
    </row>
    <row r="19" spans="2:12" ht="30" x14ac:dyDescent="0.2">
      <c r="B19" s="383"/>
      <c r="C19" s="384"/>
      <c r="D19" s="246" t="s">
        <v>16</v>
      </c>
      <c r="E19" s="33" t="s">
        <v>17</v>
      </c>
      <c r="F19" s="33" t="s">
        <v>18</v>
      </c>
      <c r="G19" s="33" t="s">
        <v>19</v>
      </c>
    </row>
    <row r="20" spans="2:12" x14ac:dyDescent="0.2">
      <c r="B20" s="385" t="s">
        <v>20</v>
      </c>
      <c r="C20" s="386"/>
      <c r="D20" s="35"/>
      <c r="E20" s="35"/>
      <c r="F20" s="35"/>
      <c r="G20" s="36" t="s">
        <v>21</v>
      </c>
    </row>
    <row r="21" spans="2:12" x14ac:dyDescent="0.2">
      <c r="B21" s="387" t="s">
        <v>22</v>
      </c>
      <c r="C21" s="388"/>
      <c r="D21" s="38" t="s">
        <v>23</v>
      </c>
      <c r="E21" s="318" t="s">
        <v>301</v>
      </c>
      <c r="F21" s="37" t="s">
        <v>24</v>
      </c>
      <c r="G21" s="37" t="s">
        <v>24</v>
      </c>
      <c r="H21" s="359" t="s">
        <v>309</v>
      </c>
    </row>
    <row r="22" spans="2:12" x14ac:dyDescent="0.2">
      <c r="B22" s="389"/>
      <c r="C22" s="40" t="s">
        <v>25</v>
      </c>
      <c r="D22" s="41" t="s">
        <v>26</v>
      </c>
      <c r="E22" s="41" t="s">
        <v>26</v>
      </c>
      <c r="F22" s="41" t="s">
        <v>26</v>
      </c>
      <c r="G22" s="42" t="s">
        <v>26</v>
      </c>
      <c r="H22" s="359"/>
    </row>
    <row r="23" spans="2:12" ht="30" x14ac:dyDescent="0.2">
      <c r="B23" s="389"/>
      <c r="C23" s="39" t="s">
        <v>27</v>
      </c>
      <c r="D23" s="43" t="s">
        <v>28</v>
      </c>
      <c r="E23" s="43" t="s">
        <v>28</v>
      </c>
      <c r="F23" s="44" t="s">
        <v>26</v>
      </c>
      <c r="G23" s="45" t="s">
        <v>26</v>
      </c>
      <c r="H23" s="359"/>
    </row>
    <row r="24" spans="2:12" ht="30" x14ac:dyDescent="0.2">
      <c r="B24" s="389"/>
      <c r="C24" s="46" t="s">
        <v>29</v>
      </c>
      <c r="D24" s="47" t="s">
        <v>30</v>
      </c>
      <c r="E24" s="47" t="s">
        <v>30</v>
      </c>
      <c r="F24" s="47" t="s">
        <v>30</v>
      </c>
      <c r="G24" s="48" t="s">
        <v>31</v>
      </c>
      <c r="H24" s="359"/>
    </row>
    <row r="25" spans="2:12" x14ac:dyDescent="0.2">
      <c r="B25" s="390" t="s">
        <v>32</v>
      </c>
      <c r="C25" s="391"/>
      <c r="D25" s="49"/>
      <c r="E25" s="49"/>
      <c r="F25" s="50"/>
      <c r="G25" s="50"/>
      <c r="H25" s="359"/>
    </row>
    <row r="26" spans="2:12" ht="30" x14ac:dyDescent="0.2">
      <c r="B26" s="51"/>
      <c r="C26" s="52" t="s">
        <v>33</v>
      </c>
      <c r="D26" s="54" t="s">
        <v>28</v>
      </c>
      <c r="E26" s="54" t="s">
        <v>28</v>
      </c>
      <c r="F26" s="53" t="s">
        <v>34</v>
      </c>
      <c r="G26" s="54" t="s">
        <v>35</v>
      </c>
      <c r="H26" s="359"/>
    </row>
    <row r="27" spans="2:12" x14ac:dyDescent="0.2">
      <c r="B27" s="403" t="s">
        <v>36</v>
      </c>
      <c r="C27" s="404"/>
      <c r="D27" s="55"/>
      <c r="E27" s="55"/>
      <c r="F27" s="55"/>
      <c r="G27" s="56" t="s">
        <v>21</v>
      </c>
      <c r="H27" s="359"/>
    </row>
    <row r="28" spans="2:12" ht="30" x14ac:dyDescent="0.2">
      <c r="B28" s="405" t="s">
        <v>37</v>
      </c>
      <c r="C28" s="406"/>
      <c r="D28" s="57"/>
      <c r="E28" s="57"/>
      <c r="F28" s="37" t="s">
        <v>38</v>
      </c>
      <c r="G28" s="37" t="s">
        <v>39</v>
      </c>
      <c r="H28" s="359"/>
    </row>
    <row r="29" spans="2:12" x14ac:dyDescent="0.2">
      <c r="B29" s="389"/>
      <c r="C29" s="58" t="s">
        <v>40</v>
      </c>
      <c r="D29" s="151" t="s">
        <v>28</v>
      </c>
      <c r="E29" s="151" t="s">
        <v>28</v>
      </c>
      <c r="F29" s="42" t="s">
        <v>26</v>
      </c>
      <c r="G29" s="151" t="s">
        <v>26</v>
      </c>
      <c r="H29" s="359"/>
    </row>
    <row r="30" spans="2:12" x14ac:dyDescent="0.2">
      <c r="B30" s="389"/>
      <c r="C30" s="39" t="s">
        <v>41</v>
      </c>
      <c r="D30" s="248" t="s">
        <v>28</v>
      </c>
      <c r="E30" s="248" t="s">
        <v>28</v>
      </c>
      <c r="F30" s="251" t="s">
        <v>28</v>
      </c>
      <c r="G30" s="45" t="s">
        <v>26</v>
      </c>
      <c r="H30" s="359"/>
    </row>
    <row r="31" spans="2:12" x14ac:dyDescent="0.2">
      <c r="B31" s="389"/>
      <c r="C31" s="59" t="s">
        <v>42</v>
      </c>
      <c r="D31" s="249" t="s">
        <v>28</v>
      </c>
      <c r="E31" s="249" t="s">
        <v>28</v>
      </c>
      <c r="F31" s="60" t="s">
        <v>26</v>
      </c>
      <c r="G31" s="60" t="s">
        <v>26</v>
      </c>
      <c r="H31" s="359"/>
    </row>
    <row r="32" spans="2:12" x14ac:dyDescent="0.2">
      <c r="B32" s="389"/>
      <c r="C32" s="61" t="s">
        <v>43</v>
      </c>
      <c r="D32" s="250" t="s">
        <v>28</v>
      </c>
      <c r="E32" s="250" t="s">
        <v>28</v>
      </c>
      <c r="F32" s="62" t="s">
        <v>26</v>
      </c>
      <c r="G32" s="62" t="s">
        <v>26</v>
      </c>
      <c r="H32" s="359"/>
    </row>
    <row r="33" spans="2:8" ht="15.75" customHeight="1" x14ac:dyDescent="0.2">
      <c r="B33" s="403" t="s">
        <v>44</v>
      </c>
      <c r="C33" s="404"/>
      <c r="D33" s="55"/>
      <c r="E33" s="55"/>
      <c r="F33" s="55"/>
      <c r="G33" s="56" t="s">
        <v>21</v>
      </c>
      <c r="H33" s="359"/>
    </row>
    <row r="34" spans="2:8" x14ac:dyDescent="0.2">
      <c r="B34" s="333" t="s">
        <v>45</v>
      </c>
      <c r="C34" s="334"/>
      <c r="D34" s="63"/>
      <c r="E34" s="63"/>
      <c r="F34" s="63"/>
      <c r="G34" s="64" t="s">
        <v>21</v>
      </c>
      <c r="H34" s="359"/>
    </row>
    <row r="35" spans="2:8" ht="14.25" customHeight="1" x14ac:dyDescent="0.2">
      <c r="B35" s="258"/>
      <c r="C35" s="253"/>
      <c r="D35" s="65"/>
      <c r="E35" s="65"/>
      <c r="F35" s="65"/>
      <c r="G35" s="259"/>
      <c r="H35" s="359"/>
    </row>
    <row r="36" spans="2:8" ht="14.25" customHeight="1" x14ac:dyDescent="0.2">
      <c r="B36" s="347" t="s">
        <v>46</v>
      </c>
      <c r="C36" s="348"/>
      <c r="D36" s="67"/>
      <c r="E36" s="67"/>
      <c r="F36" s="67"/>
      <c r="G36" s="67"/>
      <c r="H36" s="359"/>
    </row>
    <row r="37" spans="2:8" ht="14.25" customHeight="1" x14ac:dyDescent="0.2">
      <c r="B37" s="256"/>
      <c r="C37" s="261" t="s">
        <v>47</v>
      </c>
      <c r="D37" s="271" t="s">
        <v>28</v>
      </c>
      <c r="E37" s="273" t="s">
        <v>26</v>
      </c>
      <c r="F37" s="271" t="s">
        <v>26</v>
      </c>
      <c r="G37" s="274" t="s">
        <v>26</v>
      </c>
      <c r="H37" s="359"/>
    </row>
    <row r="38" spans="2:8" ht="14.25" customHeight="1" x14ac:dyDescent="0.2">
      <c r="B38" s="256"/>
      <c r="C38" s="262" t="s">
        <v>48</v>
      </c>
      <c r="D38" s="260" t="s">
        <v>28</v>
      </c>
      <c r="E38" s="264" t="s">
        <v>26</v>
      </c>
      <c r="F38" s="260" t="s">
        <v>26</v>
      </c>
      <c r="G38" s="265" t="s">
        <v>26</v>
      </c>
    </row>
    <row r="39" spans="2:8" ht="14.25" customHeight="1" x14ac:dyDescent="0.2">
      <c r="B39" s="256"/>
      <c r="C39" s="261" t="s">
        <v>47</v>
      </c>
      <c r="D39" s="271" t="s">
        <v>28</v>
      </c>
      <c r="E39" s="270" t="s">
        <v>26</v>
      </c>
      <c r="F39" s="271" t="s">
        <v>26</v>
      </c>
      <c r="G39" s="272" t="s">
        <v>26</v>
      </c>
    </row>
    <row r="40" spans="2:8" ht="14.25" customHeight="1" x14ac:dyDescent="0.2">
      <c r="B40" s="256"/>
      <c r="C40" s="262" t="s">
        <v>49</v>
      </c>
      <c r="D40" s="260" t="s">
        <v>28</v>
      </c>
      <c r="E40" s="264" t="s">
        <v>26</v>
      </c>
      <c r="F40" s="260" t="s">
        <v>26</v>
      </c>
      <c r="G40" s="265" t="s">
        <v>26</v>
      </c>
    </row>
    <row r="41" spans="2:8" ht="14.25" customHeight="1" x14ac:dyDescent="0.2">
      <c r="B41" s="256"/>
      <c r="C41" s="261" t="s">
        <v>50</v>
      </c>
      <c r="D41" s="271" t="s">
        <v>28</v>
      </c>
      <c r="E41" s="270" t="s">
        <v>26</v>
      </c>
      <c r="F41" s="271" t="s">
        <v>26</v>
      </c>
      <c r="G41" s="272" t="s">
        <v>26</v>
      </c>
    </row>
    <row r="42" spans="2:8" ht="14.25" customHeight="1" x14ac:dyDescent="0.2">
      <c r="B42" s="256"/>
      <c r="C42" s="262" t="s">
        <v>51</v>
      </c>
      <c r="D42" s="260" t="s">
        <v>28</v>
      </c>
      <c r="E42" s="264" t="s">
        <v>26</v>
      </c>
      <c r="F42" s="260" t="s">
        <v>26</v>
      </c>
      <c r="G42" s="265" t="s">
        <v>26</v>
      </c>
    </row>
    <row r="43" spans="2:8" ht="14.25" customHeight="1" x14ac:dyDescent="0.2">
      <c r="B43" s="256"/>
      <c r="C43" s="261" t="s">
        <v>52</v>
      </c>
      <c r="D43" s="271" t="s">
        <v>28</v>
      </c>
      <c r="E43" s="270" t="s">
        <v>26</v>
      </c>
      <c r="F43" s="271" t="s">
        <v>26</v>
      </c>
      <c r="G43" s="272" t="s">
        <v>26</v>
      </c>
    </row>
    <row r="44" spans="2:8" ht="14.25" customHeight="1" x14ac:dyDescent="0.2">
      <c r="B44" s="256"/>
      <c r="C44" s="262" t="s">
        <v>53</v>
      </c>
      <c r="D44" s="260" t="s">
        <v>28</v>
      </c>
      <c r="E44" s="264" t="s">
        <v>26</v>
      </c>
      <c r="F44" s="260" t="s">
        <v>26</v>
      </c>
      <c r="G44" s="265" t="s">
        <v>26</v>
      </c>
    </row>
    <row r="45" spans="2:8" ht="14.25" customHeight="1" x14ac:dyDescent="0.2">
      <c r="B45" s="256"/>
      <c r="C45" s="305" t="s">
        <v>54</v>
      </c>
      <c r="D45" s="271" t="s">
        <v>26</v>
      </c>
      <c r="E45" s="270" t="s">
        <v>26</v>
      </c>
      <c r="F45" s="271" t="s">
        <v>26</v>
      </c>
      <c r="G45" s="272" t="s">
        <v>26</v>
      </c>
    </row>
    <row r="46" spans="2:8" ht="14.25" customHeight="1" x14ac:dyDescent="0.2">
      <c r="B46" s="256"/>
      <c r="C46" s="262" t="s">
        <v>55</v>
      </c>
      <c r="D46" s="260" t="s">
        <v>56</v>
      </c>
      <c r="E46" s="264" t="s">
        <v>57</v>
      </c>
      <c r="F46" s="264" t="s">
        <v>57</v>
      </c>
      <c r="G46" s="263" t="s">
        <v>57</v>
      </c>
    </row>
    <row r="47" spans="2:8" ht="14.25" customHeight="1" x14ac:dyDescent="0.2">
      <c r="B47" s="256"/>
      <c r="C47" s="261" t="s">
        <v>58</v>
      </c>
      <c r="D47" s="271" t="s">
        <v>26</v>
      </c>
      <c r="E47" s="270" t="s">
        <v>26</v>
      </c>
      <c r="F47" s="271" t="s">
        <v>26</v>
      </c>
      <c r="G47" s="272" t="s">
        <v>26</v>
      </c>
    </row>
    <row r="48" spans="2:8" ht="14.25" customHeight="1" x14ac:dyDescent="0.2">
      <c r="B48" s="256"/>
      <c r="C48" s="266" t="s">
        <v>59</v>
      </c>
      <c r="D48" s="268" t="s">
        <v>26</v>
      </c>
      <c r="E48" s="267" t="s">
        <v>26</v>
      </c>
      <c r="F48" s="268" t="s">
        <v>26</v>
      </c>
      <c r="G48" s="269" t="s">
        <v>26</v>
      </c>
    </row>
    <row r="49" spans="2:14" ht="15.75" x14ac:dyDescent="0.25">
      <c r="B49" s="256"/>
      <c r="C49" s="277" t="s">
        <v>60</v>
      </c>
      <c r="D49" s="306"/>
      <c r="E49" s="260"/>
      <c r="F49" s="260"/>
      <c r="G49" s="259"/>
    </row>
    <row r="50" spans="2:14" x14ac:dyDescent="0.2">
      <c r="B50" s="275"/>
      <c r="C50" s="276" t="s">
        <v>61</v>
      </c>
      <c r="D50" s="65"/>
      <c r="E50" s="65"/>
      <c r="F50" s="65"/>
      <c r="G50" s="66"/>
    </row>
    <row r="51" spans="2:14" x14ac:dyDescent="0.2">
      <c r="B51" s="339" t="s">
        <v>62</v>
      </c>
      <c r="C51" s="339"/>
      <c r="D51" s="67"/>
      <c r="E51" s="67"/>
      <c r="F51" s="67"/>
      <c r="G51" s="67"/>
    </row>
    <row r="52" spans="2:14" x14ac:dyDescent="0.2">
      <c r="B52" s="382" t="s">
        <v>63</v>
      </c>
      <c r="C52" s="219" t="s">
        <v>64</v>
      </c>
      <c r="D52" s="377" t="s">
        <v>65</v>
      </c>
      <c r="E52" s="378"/>
      <c r="F52" s="378"/>
      <c r="G52" s="379"/>
      <c r="H52" s="68" t="str">
        <f>IF(OR(D52="Yes"),"How many VM's protected","")</f>
        <v/>
      </c>
      <c r="I52" s="69">
        <v>1</v>
      </c>
      <c r="J52" s="70" t="str">
        <f>IF(D52="Yes","How many TiB protected","")</f>
        <v/>
      </c>
      <c r="K52" s="71">
        <v>10</v>
      </c>
      <c r="L52" s="245" t="str">
        <f>IF(D52="Yes","*10 Tib Minimum","")</f>
        <v/>
      </c>
    </row>
    <row r="53" spans="2:14" x14ac:dyDescent="0.2">
      <c r="B53" s="382"/>
      <c r="C53" s="220" t="s">
        <v>66</v>
      </c>
      <c r="D53" s="376" t="s">
        <v>65</v>
      </c>
      <c r="E53" s="337"/>
      <c r="F53" s="337"/>
      <c r="G53" s="338"/>
      <c r="H53" s="68" t="str">
        <f>IF(OR(D53="Yes"),"How many VM's protected","")</f>
        <v/>
      </c>
      <c r="I53" s="69">
        <v>150</v>
      </c>
    </row>
    <row r="54" spans="2:14" x14ac:dyDescent="0.2">
      <c r="B54" s="88"/>
      <c r="C54" s="227"/>
      <c r="D54" s="200"/>
      <c r="E54" s="209"/>
      <c r="F54" s="209"/>
      <c r="G54" s="213"/>
      <c r="H54" s="167"/>
      <c r="I54" s="167"/>
    </row>
    <row r="55" spans="2:14" x14ac:dyDescent="0.2">
      <c r="B55" s="342"/>
      <c r="C55" s="228" t="s">
        <v>67</v>
      </c>
      <c r="D55" s="72" t="s">
        <v>28</v>
      </c>
      <c r="E55" s="73" t="s">
        <v>28</v>
      </c>
      <c r="F55" s="335" t="str">
        <f>C12 &amp;", As is specified above"</f>
        <v>No, As is specified above</v>
      </c>
      <c r="G55" s="336"/>
      <c r="H55" s="74" t="str">
        <f>IF(C12="Yes","Uses TiB as specified above","")</f>
        <v/>
      </c>
      <c r="I55" s="9" t="str">
        <f>IF(C12="Yes",ROUNDUP(F12,0),"")</f>
        <v/>
      </c>
      <c r="J55" s="74" t="str">
        <f>IF(C12="Yes","Note: vSAN is per TIB there for round up ","")</f>
        <v/>
      </c>
      <c r="K55" s="74"/>
      <c r="L55" s="74"/>
      <c r="M55" s="74"/>
      <c r="N55" s="74"/>
    </row>
    <row r="56" spans="2:14" ht="27.75" x14ac:dyDescent="0.2">
      <c r="B56" s="342"/>
      <c r="C56" s="215" t="s">
        <v>68</v>
      </c>
      <c r="D56" s="216" t="s">
        <v>28</v>
      </c>
      <c r="E56" s="217" t="s">
        <v>28</v>
      </c>
      <c r="F56" s="337" t="s">
        <v>65</v>
      </c>
      <c r="G56" s="338"/>
      <c r="H56" s="74" t="str">
        <f>IF(F56="Yes","Sold per service unit","")</f>
        <v/>
      </c>
      <c r="I56" s="21">
        <v>6</v>
      </c>
      <c r="J56" s="78" t="str">
        <f>IF(F56="Yes","How to size?","")</f>
        <v/>
      </c>
    </row>
    <row r="57" spans="2:14" x14ac:dyDescent="0.2">
      <c r="B57" s="210"/>
      <c r="C57" s="218"/>
      <c r="D57" s="209"/>
      <c r="E57" s="200"/>
      <c r="F57" s="345"/>
      <c r="G57" s="346"/>
      <c r="H57" s="74"/>
      <c r="J57" s="78"/>
    </row>
    <row r="58" spans="2:14" ht="15" customHeight="1" x14ac:dyDescent="0.2">
      <c r="B58" s="344" t="s">
        <v>69</v>
      </c>
      <c r="C58" s="191" t="s">
        <v>70</v>
      </c>
      <c r="D58" s="72" t="s">
        <v>28</v>
      </c>
      <c r="E58" s="73" t="s">
        <v>28</v>
      </c>
      <c r="F58" s="377" t="s">
        <v>65</v>
      </c>
      <c r="G58" s="379"/>
      <c r="H58" s="74" t="str">
        <f>IF(F58="Yes","Priced per core (50 minimum)","")</f>
        <v/>
      </c>
      <c r="I58" s="21">
        <v>54</v>
      </c>
      <c r="J58" s="224" t="s">
        <v>71</v>
      </c>
    </row>
    <row r="59" spans="2:14" ht="37.5" x14ac:dyDescent="0.2">
      <c r="B59" s="344"/>
      <c r="C59" s="75" t="s">
        <v>72</v>
      </c>
      <c r="D59" s="76" t="s">
        <v>28</v>
      </c>
      <c r="E59" s="77" t="s">
        <v>28</v>
      </c>
      <c r="F59" s="395" t="s">
        <v>65</v>
      </c>
      <c r="G59" s="396"/>
      <c r="H59" s="74" t="str">
        <f>IF(F59="Yes","Priced per core (50 minimum)","")</f>
        <v/>
      </c>
      <c r="I59" s="21">
        <v>85</v>
      </c>
    </row>
    <row r="60" spans="2:14" x14ac:dyDescent="0.2">
      <c r="B60" s="344"/>
      <c r="C60" s="189" t="s">
        <v>73</v>
      </c>
      <c r="D60" s="79" t="s">
        <v>28</v>
      </c>
      <c r="E60" s="80" t="s">
        <v>28</v>
      </c>
      <c r="F60" s="397" t="s">
        <v>65</v>
      </c>
      <c r="G60" s="398"/>
      <c r="H60" s="74" t="str">
        <f>IF(F60="Yes","Priced per core (100 minimum)","")</f>
        <v/>
      </c>
      <c r="I60" s="21">
        <v>12</v>
      </c>
      <c r="J60" s="224" t="s">
        <v>71</v>
      </c>
    </row>
    <row r="61" spans="2:14" x14ac:dyDescent="0.2">
      <c r="B61" s="344"/>
      <c r="C61" s="75" t="s">
        <v>74</v>
      </c>
      <c r="D61" s="76" t="s">
        <v>28</v>
      </c>
      <c r="E61" s="77" t="s">
        <v>28</v>
      </c>
      <c r="F61" s="399" t="s">
        <v>75</v>
      </c>
      <c r="G61" s="400"/>
      <c r="H61" s="74"/>
      <c r="J61" s="293"/>
    </row>
    <row r="62" spans="2:14" x14ac:dyDescent="0.2">
      <c r="B62" s="344"/>
      <c r="C62" s="173" t="s">
        <v>76</v>
      </c>
      <c r="D62" s="156" t="s">
        <v>28</v>
      </c>
      <c r="E62" s="157" t="s">
        <v>28</v>
      </c>
      <c r="F62" s="401" t="s">
        <v>65</v>
      </c>
      <c r="G62" s="402"/>
      <c r="H62" s="74" t="str">
        <f>IF(F62="Yes","A  percentage of montly cloud spend","")</f>
        <v/>
      </c>
      <c r="I62" s="21">
        <v>4</v>
      </c>
    </row>
    <row r="63" spans="2:14" x14ac:dyDescent="0.2">
      <c r="B63" s="344"/>
      <c r="C63" s="225" t="s">
        <v>77</v>
      </c>
      <c r="D63" s="158" t="s">
        <v>28</v>
      </c>
      <c r="E63" s="159" t="s">
        <v>28</v>
      </c>
      <c r="F63" s="392" t="s">
        <v>65</v>
      </c>
      <c r="G63" s="393"/>
      <c r="H63" s="74" t="str">
        <f>IF(F63="Yes","Priced per resource (10 minimum)","")</f>
        <v/>
      </c>
      <c r="I63" s="21">
        <v>11</v>
      </c>
    </row>
    <row r="64" spans="2:14" x14ac:dyDescent="0.2">
      <c r="B64" s="344"/>
      <c r="C64" s="192" t="s">
        <v>78</v>
      </c>
      <c r="D64" s="193" t="s">
        <v>28</v>
      </c>
      <c r="E64" s="194" t="s">
        <v>28</v>
      </c>
      <c r="F64" s="345" t="s">
        <v>75</v>
      </c>
      <c r="G64" s="346"/>
      <c r="H64" s="74"/>
    </row>
    <row r="65" spans="2:10" ht="21.75" customHeight="1" x14ac:dyDescent="0.2">
      <c r="B65" s="198"/>
      <c r="C65" s="199"/>
      <c r="D65" s="200"/>
      <c r="E65" s="200"/>
      <c r="F65" s="352"/>
      <c r="G65" s="394"/>
      <c r="H65" s="74"/>
    </row>
    <row r="66" spans="2:10" x14ac:dyDescent="0.2">
      <c r="B66" s="343" t="s">
        <v>79</v>
      </c>
      <c r="C66" s="196" t="s">
        <v>80</v>
      </c>
      <c r="D66" s="197" t="s">
        <v>28</v>
      </c>
      <c r="E66" s="197" t="s">
        <v>28</v>
      </c>
      <c r="F66" s="197" t="s">
        <v>28</v>
      </c>
      <c r="G66" s="160" t="s">
        <v>65</v>
      </c>
      <c r="H66" s="74" t="str">
        <f>IF(G67="Yes","VMware Firewall is included with ATP",IF(G66="Yes","Priced per CPU Core in the cluster",""))</f>
        <v/>
      </c>
      <c r="I66" s="21">
        <v>100</v>
      </c>
    </row>
    <row r="67" spans="2:10" ht="30" x14ac:dyDescent="0.2">
      <c r="B67" s="343"/>
      <c r="C67" s="195" t="s">
        <v>81</v>
      </c>
      <c r="D67" s="161" t="s">
        <v>28</v>
      </c>
      <c r="E67" s="161" t="s">
        <v>28</v>
      </c>
      <c r="F67" s="161" t="s">
        <v>28</v>
      </c>
      <c r="G67" s="90" t="s">
        <v>65</v>
      </c>
      <c r="H67" s="9" t="str">
        <f>IF(G67="Yes","Priced per CPU Core in the cluster","")</f>
        <v/>
      </c>
      <c r="I67" s="21">
        <v>100</v>
      </c>
    </row>
    <row r="68" spans="2:10" x14ac:dyDescent="0.2">
      <c r="B68" s="340"/>
      <c r="C68" s="341"/>
      <c r="D68" s="221"/>
      <c r="E68" s="65"/>
      <c r="F68" s="221"/>
      <c r="G68" s="66"/>
    </row>
    <row r="69" spans="2:10" x14ac:dyDescent="0.2">
      <c r="B69" s="339" t="s">
        <v>82</v>
      </c>
      <c r="C69" s="339"/>
      <c r="D69" s="67"/>
      <c r="E69" s="67"/>
      <c r="F69" s="67"/>
      <c r="G69" s="67"/>
    </row>
    <row r="70" spans="2:10" x14ac:dyDescent="0.2">
      <c r="B70" s="283"/>
      <c r="C70" s="82" t="s">
        <v>83</v>
      </c>
      <c r="D70" s="83" t="s">
        <v>26</v>
      </c>
      <c r="E70" s="83" t="s">
        <v>26</v>
      </c>
      <c r="F70" s="83" t="s">
        <v>26</v>
      </c>
      <c r="G70" s="83" t="s">
        <v>26</v>
      </c>
    </row>
    <row r="71" spans="2:10" x14ac:dyDescent="0.2">
      <c r="B71" s="284"/>
      <c r="C71" s="84" t="s">
        <v>84</v>
      </c>
      <c r="D71" s="44" t="s">
        <v>28</v>
      </c>
      <c r="E71" s="44" t="s">
        <v>28</v>
      </c>
      <c r="F71" s="44" t="s">
        <v>28</v>
      </c>
      <c r="G71" s="44" t="s">
        <v>26</v>
      </c>
    </row>
    <row r="72" spans="2:10" x14ac:dyDescent="0.2">
      <c r="B72" s="284"/>
      <c r="C72" s="155" t="s">
        <v>85</v>
      </c>
      <c r="D72" s="85" t="s">
        <v>28</v>
      </c>
      <c r="E72" s="85" t="s">
        <v>28</v>
      </c>
      <c r="F72" s="85" t="s">
        <v>28</v>
      </c>
      <c r="G72" s="298" t="s">
        <v>65</v>
      </c>
    </row>
    <row r="73" spans="2:10" x14ac:dyDescent="0.2">
      <c r="B73" s="350" t="s">
        <v>86</v>
      </c>
      <c r="C73" s="86" t="s">
        <v>87</v>
      </c>
      <c r="D73" s="87" t="s">
        <v>28</v>
      </c>
      <c r="E73" s="87" t="s">
        <v>28</v>
      </c>
      <c r="F73" s="88" t="s">
        <v>28</v>
      </c>
      <c r="G73" s="299" t="s">
        <v>65</v>
      </c>
      <c r="H73" s="9" t="str">
        <f>IF(G73="Yes","Sold per month or Year","")</f>
        <v/>
      </c>
      <c r="I73" s="349" t="str">
        <f>IF(G73="Yes","Note: Only strategic accounts","")</f>
        <v/>
      </c>
      <c r="J73" s="349"/>
    </row>
    <row r="74" spans="2:10" x14ac:dyDescent="0.2">
      <c r="B74" s="350"/>
      <c r="C74" s="155" t="s">
        <v>88</v>
      </c>
      <c r="D74" s="85" t="s">
        <v>28</v>
      </c>
      <c r="E74" s="85" t="s">
        <v>28</v>
      </c>
      <c r="F74" s="165" t="s">
        <v>28</v>
      </c>
      <c r="G74" s="300" t="s">
        <v>65</v>
      </c>
      <c r="H74" s="9" t="str">
        <f>IF(G74="Yes","Sold per month or Year","")</f>
        <v/>
      </c>
      <c r="I74" s="349" t="str">
        <f>IF(G74="Yes","Note: Only strategic accounts","")</f>
        <v/>
      </c>
      <c r="J74" s="349"/>
    </row>
    <row r="75" spans="2:10" x14ac:dyDescent="0.2">
      <c r="B75" s="350"/>
      <c r="C75" s="201" t="s">
        <v>89</v>
      </c>
      <c r="D75" s="202" t="s">
        <v>28</v>
      </c>
      <c r="E75" s="202" t="s">
        <v>28</v>
      </c>
      <c r="F75" s="203" t="s">
        <v>28</v>
      </c>
      <c r="G75" s="204" t="s">
        <v>65</v>
      </c>
      <c r="H75" s="9" t="str">
        <f>IF(G75="Yes","Sold per month or Year","")</f>
        <v/>
      </c>
      <c r="I75" s="349" t="str">
        <f>IF(G75="Yes","Note: Only strategic accounts","")</f>
        <v/>
      </c>
      <c r="J75" s="349"/>
    </row>
    <row r="76" spans="2:10" x14ac:dyDescent="0.2">
      <c r="B76" s="210"/>
      <c r="C76" s="211"/>
      <c r="D76" s="200"/>
      <c r="E76" s="209"/>
      <c r="F76" s="200"/>
      <c r="G76" s="304"/>
      <c r="I76" s="81"/>
    </row>
    <row r="77" spans="2:10" ht="15" customHeight="1" x14ac:dyDescent="0.2">
      <c r="B77" s="351" t="s">
        <v>90</v>
      </c>
      <c r="C77" s="205" t="s">
        <v>91</v>
      </c>
      <c r="D77" s="206" t="s">
        <v>28</v>
      </c>
      <c r="E77" s="206" t="s">
        <v>28</v>
      </c>
      <c r="F77" s="207" t="s">
        <v>28</v>
      </c>
      <c r="G77" s="208" t="s">
        <v>65</v>
      </c>
      <c r="H77" s="9" t="str">
        <f t="shared" ref="H77:H87" si="0">IF(G77="Yes","Sold per Year","")</f>
        <v/>
      </c>
      <c r="I77" s="81"/>
    </row>
    <row r="78" spans="2:10" x14ac:dyDescent="0.2">
      <c r="B78" s="351"/>
      <c r="C78" s="86" t="s">
        <v>92</v>
      </c>
      <c r="D78" s="87" t="s">
        <v>28</v>
      </c>
      <c r="E78" s="87" t="s">
        <v>28</v>
      </c>
      <c r="F78" s="88" t="s">
        <v>28</v>
      </c>
      <c r="G78" s="89" t="s">
        <v>65</v>
      </c>
      <c r="H78" s="9" t="str">
        <f t="shared" si="0"/>
        <v/>
      </c>
      <c r="I78" s="81"/>
    </row>
    <row r="79" spans="2:10" ht="30" x14ac:dyDescent="0.2">
      <c r="B79" s="351"/>
      <c r="C79" s="155" t="s">
        <v>93</v>
      </c>
      <c r="D79" s="85" t="s">
        <v>28</v>
      </c>
      <c r="E79" s="85" t="s">
        <v>28</v>
      </c>
      <c r="F79" s="165" t="s">
        <v>28</v>
      </c>
      <c r="G79" s="187" t="s">
        <v>65</v>
      </c>
      <c r="H79" s="9" t="str">
        <f t="shared" si="0"/>
        <v/>
      </c>
    </row>
    <row r="80" spans="2:10" ht="30" x14ac:dyDescent="0.2">
      <c r="B80" s="351"/>
      <c r="C80" s="301" t="s">
        <v>94</v>
      </c>
      <c r="D80" s="213" t="s">
        <v>28</v>
      </c>
      <c r="E80" s="157" t="s">
        <v>28</v>
      </c>
      <c r="F80" s="157" t="s">
        <v>28</v>
      </c>
      <c r="G80" s="214" t="s">
        <v>65</v>
      </c>
      <c r="H80" s="9" t="str">
        <f t="shared" si="0"/>
        <v/>
      </c>
    </row>
    <row r="81" spans="2:8" x14ac:dyDescent="0.2">
      <c r="B81" s="351"/>
      <c r="C81" s="302" t="s">
        <v>95</v>
      </c>
      <c r="D81" s="282" t="s">
        <v>28</v>
      </c>
      <c r="E81" s="159" t="s">
        <v>28</v>
      </c>
      <c r="F81" s="159" t="s">
        <v>28</v>
      </c>
      <c r="G81" s="279" t="s">
        <v>65</v>
      </c>
      <c r="H81" s="9" t="str">
        <f t="shared" si="0"/>
        <v/>
      </c>
    </row>
    <row r="82" spans="2:8" x14ac:dyDescent="0.2">
      <c r="B82" s="351"/>
      <c r="C82" s="301" t="s">
        <v>96</v>
      </c>
      <c r="D82" s="213" t="s">
        <v>28</v>
      </c>
      <c r="E82" s="157" t="s">
        <v>28</v>
      </c>
      <c r="F82" s="157" t="s">
        <v>28</v>
      </c>
      <c r="G82" s="214" t="s">
        <v>65</v>
      </c>
      <c r="H82" s="9" t="str">
        <f t="shared" si="0"/>
        <v/>
      </c>
    </row>
    <row r="83" spans="2:8" x14ac:dyDescent="0.2">
      <c r="B83" s="351"/>
      <c r="C83" s="302" t="s">
        <v>97</v>
      </c>
      <c r="D83" s="282" t="s">
        <v>28</v>
      </c>
      <c r="E83" s="159" t="s">
        <v>28</v>
      </c>
      <c r="F83" s="159" t="s">
        <v>28</v>
      </c>
      <c r="G83" s="279" t="s">
        <v>65</v>
      </c>
      <c r="H83" s="9" t="str">
        <f t="shared" si="0"/>
        <v/>
      </c>
    </row>
    <row r="84" spans="2:8" x14ac:dyDescent="0.2">
      <c r="B84" s="351"/>
      <c r="C84" s="301" t="s">
        <v>98</v>
      </c>
      <c r="D84" s="213" t="s">
        <v>28</v>
      </c>
      <c r="E84" s="157" t="s">
        <v>28</v>
      </c>
      <c r="F84" s="157" t="s">
        <v>28</v>
      </c>
      <c r="G84" s="214" t="s">
        <v>65</v>
      </c>
      <c r="H84" s="9" t="str">
        <f t="shared" si="0"/>
        <v/>
      </c>
    </row>
    <row r="85" spans="2:8" x14ac:dyDescent="0.2">
      <c r="B85" s="351"/>
      <c r="C85" s="302" t="s">
        <v>99</v>
      </c>
      <c r="D85" s="282" t="s">
        <v>28</v>
      </c>
      <c r="E85" s="159" t="s">
        <v>28</v>
      </c>
      <c r="F85" s="159" t="s">
        <v>28</v>
      </c>
      <c r="G85" s="279" t="s">
        <v>65</v>
      </c>
      <c r="H85" s="9" t="str">
        <f t="shared" si="0"/>
        <v/>
      </c>
    </row>
    <row r="86" spans="2:8" x14ac:dyDescent="0.2">
      <c r="B86" s="351"/>
      <c r="C86" s="301" t="s">
        <v>100</v>
      </c>
      <c r="D86" s="213" t="s">
        <v>28</v>
      </c>
      <c r="E86" s="157" t="s">
        <v>28</v>
      </c>
      <c r="F86" s="157" t="s">
        <v>28</v>
      </c>
      <c r="G86" s="214" t="s">
        <v>65</v>
      </c>
      <c r="H86" s="9" t="str">
        <f t="shared" si="0"/>
        <v/>
      </c>
    </row>
    <row r="87" spans="2:8" ht="30" x14ac:dyDescent="0.2">
      <c r="B87" s="351"/>
      <c r="C87" s="303" t="s">
        <v>101</v>
      </c>
      <c r="D87" s="285" t="s">
        <v>28</v>
      </c>
      <c r="E87" s="286" t="s">
        <v>28</v>
      </c>
      <c r="F87" s="286" t="s">
        <v>28</v>
      </c>
      <c r="G87" s="90" t="s">
        <v>65</v>
      </c>
      <c r="H87" s="9" t="str">
        <f t="shared" si="0"/>
        <v/>
      </c>
    </row>
    <row r="88" spans="2:8" ht="15.75" customHeight="1" x14ac:dyDescent="0.2">
      <c r="B88" s="280"/>
      <c r="C88" s="254"/>
      <c r="D88" s="255"/>
      <c r="E88" s="255"/>
      <c r="F88" s="255"/>
      <c r="G88" s="257"/>
    </row>
    <row r="89" spans="2:8" ht="15.75" customHeight="1" x14ac:dyDescent="0.2">
      <c r="B89" s="351" t="s">
        <v>102</v>
      </c>
      <c r="C89" s="290" t="s">
        <v>103</v>
      </c>
      <c r="D89" s="291" t="s">
        <v>28</v>
      </c>
      <c r="E89" s="274" t="s">
        <v>28</v>
      </c>
      <c r="F89" s="274" t="s">
        <v>28</v>
      </c>
      <c r="G89" s="292" t="s">
        <v>65</v>
      </c>
      <c r="H89" s="9" t="str">
        <f>IF(G89="Yes","Sold per Year","")</f>
        <v/>
      </c>
    </row>
    <row r="90" spans="2:8" ht="15.75" customHeight="1" x14ac:dyDescent="0.2">
      <c r="B90" s="351"/>
      <c r="C90" s="281" t="s">
        <v>104</v>
      </c>
      <c r="D90" s="255" t="s">
        <v>28</v>
      </c>
      <c r="E90" s="265" t="s">
        <v>28</v>
      </c>
      <c r="F90" s="265" t="s">
        <v>28</v>
      </c>
      <c r="G90" s="214" t="s">
        <v>65</v>
      </c>
      <c r="H90" s="9" t="str">
        <f>IF(G90="Yes","Sold per Year","")</f>
        <v/>
      </c>
    </row>
    <row r="91" spans="2:8" ht="15.75" customHeight="1" x14ac:dyDescent="0.2">
      <c r="B91" s="351"/>
      <c r="C91" s="287" t="s">
        <v>105</v>
      </c>
      <c r="D91" s="288" t="s">
        <v>28</v>
      </c>
      <c r="E91" s="272" t="s">
        <v>28</v>
      </c>
      <c r="F91" s="272" t="s">
        <v>28</v>
      </c>
      <c r="G91" s="279" t="s">
        <v>65</v>
      </c>
      <c r="H91" s="9" t="str">
        <f>IF(G91="Yes","Sold per Year","")</f>
        <v/>
      </c>
    </row>
    <row r="92" spans="2:8" x14ac:dyDescent="0.2">
      <c r="B92" s="351"/>
      <c r="C92" s="212" t="s">
        <v>106</v>
      </c>
      <c r="D92" s="278" t="s">
        <v>28</v>
      </c>
      <c r="E92" s="194" t="s">
        <v>28</v>
      </c>
      <c r="F92" s="194" t="s">
        <v>28</v>
      </c>
      <c r="G92" s="289" t="s">
        <v>65</v>
      </c>
      <c r="H92" s="9" t="str">
        <f>IF(G92="Yes","Sold per Year","")</f>
        <v/>
      </c>
    </row>
    <row r="93" spans="2:8" x14ac:dyDescent="0.2">
      <c r="B93" s="222"/>
      <c r="C93" s="223"/>
      <c r="D93" s="223"/>
      <c r="E93" s="223"/>
      <c r="F93" s="223"/>
      <c r="G93" s="252"/>
    </row>
    <row r="94" spans="2:8" x14ac:dyDescent="0.2">
      <c r="B94" s="9"/>
      <c r="C94" s="9"/>
      <c r="D94" s="9"/>
      <c r="E94" s="9"/>
      <c r="F94" s="9"/>
      <c r="G94" s="9"/>
    </row>
    <row r="95" spans="2:8" x14ac:dyDescent="0.2">
      <c r="B95" s="9"/>
      <c r="C95" s="9"/>
      <c r="D95" s="9"/>
      <c r="E95" s="9"/>
      <c r="F95" s="9"/>
      <c r="G95" s="9"/>
    </row>
    <row r="96" spans="2:8" x14ac:dyDescent="0.2">
      <c r="B96" s="9"/>
      <c r="C96" s="9"/>
      <c r="D96" s="9"/>
      <c r="E96" s="9"/>
      <c r="F96" s="9"/>
      <c r="G96" s="9"/>
    </row>
    <row r="97" spans="1:51" ht="15.75" customHeight="1" x14ac:dyDescent="0.2">
      <c r="B97" s="381" t="str">
        <f>"Pricing options ("&amp;C16&amp;")"</f>
        <v>Pricing options (EUR)</v>
      </c>
      <c r="C97" s="381"/>
      <c r="D97" s="381"/>
      <c r="E97" s="381"/>
      <c r="F97" s="381"/>
      <c r="G97" s="381"/>
      <c r="H97" s="381"/>
      <c r="I97" s="381"/>
      <c r="J97" s="381"/>
      <c r="K97" s="381"/>
      <c r="L97" s="381"/>
      <c r="M97" s="381"/>
      <c r="N97" s="381"/>
      <c r="O97" s="381"/>
    </row>
    <row r="98" spans="1:51" ht="15.75" customHeight="1" x14ac:dyDescent="0.2">
      <c r="B98" s="381"/>
      <c r="C98" s="381"/>
      <c r="D98" s="381"/>
      <c r="E98" s="381"/>
      <c r="F98" s="381"/>
      <c r="G98" s="381"/>
      <c r="H98" s="381"/>
      <c r="I98" s="381"/>
      <c r="J98" s="381"/>
      <c r="K98" s="381"/>
      <c r="L98" s="381"/>
      <c r="M98" s="381"/>
      <c r="N98" s="381"/>
      <c r="O98" s="381"/>
    </row>
    <row r="99" spans="1:51" ht="27" x14ac:dyDescent="0.35">
      <c r="B99" s="91"/>
      <c r="C99" s="91"/>
      <c r="D99" s="91"/>
      <c r="E99" s="91"/>
      <c r="F99" s="91"/>
      <c r="G99" s="91"/>
      <c r="H99" s="91"/>
      <c r="I99" s="91"/>
      <c r="J99" s="91"/>
    </row>
    <row r="100" spans="1:51" ht="40.5" customHeight="1" x14ac:dyDescent="0.35">
      <c r="B100" s="325" t="str">
        <f>"vSphere ESXi"&amp; " - Total amount of Cores to be licensed : " &amp; F9 &amp;" Cores"</f>
        <v>vSphere ESXi - Total amount of Cores to be licensed : 16 Cores</v>
      </c>
      <c r="C100" s="325"/>
      <c r="D100" s="325"/>
      <c r="E100" s="325"/>
      <c r="F100" s="325"/>
      <c r="G100" s="325"/>
      <c r="H100" s="325"/>
      <c r="I100" s="325"/>
      <c r="J100" s="325"/>
      <c r="K100" s="325"/>
      <c r="L100" s="325"/>
      <c r="M100" s="325"/>
      <c r="N100" s="325"/>
      <c r="O100" s="325"/>
    </row>
    <row r="101" spans="1:51" s="9" customFormat="1" ht="11.25" customHeight="1" thickBot="1" x14ac:dyDescent="0.4">
      <c r="B101" s="309"/>
      <c r="C101" s="309"/>
      <c r="D101" s="309"/>
      <c r="E101" s="309"/>
      <c r="F101" s="309"/>
      <c r="G101" s="309"/>
      <c r="H101" s="309"/>
      <c r="I101" s="309"/>
      <c r="J101" s="309"/>
      <c r="K101" s="309"/>
      <c r="L101" s="309"/>
      <c r="M101" s="309"/>
      <c r="N101" s="309"/>
      <c r="O101" s="309"/>
    </row>
    <row r="102" spans="1:51" ht="15.75" customHeight="1" x14ac:dyDescent="0.2">
      <c r="B102" s="364" t="s">
        <v>107</v>
      </c>
      <c r="C102" s="365"/>
      <c r="D102" s="368" t="s">
        <v>108</v>
      </c>
      <c r="E102" s="369"/>
      <c r="F102" s="353" t="s">
        <v>109</v>
      </c>
      <c r="G102" s="354"/>
      <c r="H102" s="353" t="s">
        <v>110</v>
      </c>
      <c r="I102" s="354"/>
    </row>
    <row r="103" spans="1:51" s="95" customFormat="1" x14ac:dyDescent="0.2">
      <c r="A103" s="74"/>
      <c r="B103" s="366"/>
      <c r="C103" s="367"/>
      <c r="D103" s="92" t="s">
        <v>111</v>
      </c>
      <c r="E103" s="93" t="s">
        <v>112</v>
      </c>
      <c r="F103" s="92" t="s">
        <v>111</v>
      </c>
      <c r="G103" s="94" t="s">
        <v>112</v>
      </c>
      <c r="H103" s="92" t="s">
        <v>111</v>
      </c>
      <c r="I103" s="93" t="s">
        <v>112</v>
      </c>
      <c r="K103" s="162"/>
      <c r="M103" s="162"/>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row>
    <row r="104" spans="1:51" ht="63" customHeight="1" x14ac:dyDescent="0.2">
      <c r="B104" s="322" t="s">
        <v>16</v>
      </c>
      <c r="C104" s="323"/>
      <c r="D104" s="97">
        <f>'vSphere Pricing'!I7</f>
        <v>45.965000000000003</v>
      </c>
      <c r="E104" s="176">
        <f>IF('vSphere Pricing'!B7="1",'vSphere Pricing'!E7*'vSphere Pricing'!I7,"N/A")</f>
        <v>735.44</v>
      </c>
      <c r="F104" s="97">
        <f>'vSphere Pricing'!M7</f>
        <v>137.89500000000001</v>
      </c>
      <c r="G104" s="96">
        <f>IF('vSphere Pricing'!B7="1",'vSphere Pricing'!E7*'vSphere Pricing'!M7,"N/A")</f>
        <v>2206.3200000000002</v>
      </c>
      <c r="H104" s="97">
        <f>'vSphere Pricing'!Q7</f>
        <v>229.82499999999999</v>
      </c>
      <c r="I104" s="176">
        <f>IF('vSphere Pricing'!B7="1",'vSphere Pricing'!E7*'vSphere Pricing'!Q7,"N/A")</f>
        <v>3677.2</v>
      </c>
      <c r="J104" s="162" t="str" cm="1">
        <f t="array" ref="J104">IF(C12="Yes"," - vSphere standard does not support vSAN - ","")&amp;IF(C13="Yes"," - vSphere Standard  does not support NSX - ","")&amp;IF(OR(F56:F65="Yes",G66:G67="Yes",G75:G92="Yes"),"- A feature selected is not supported - ","")&amp;IF(C14="Yes"," - vSphere Standard does not support Tanzu - ","")</f>
        <v/>
      </c>
      <c r="K104" s="101"/>
      <c r="M104" s="162"/>
      <c r="N104" s="162"/>
      <c r="O104" s="162"/>
    </row>
    <row r="105" spans="1:51" ht="54" customHeight="1" x14ac:dyDescent="0.2">
      <c r="B105" s="324" t="s">
        <v>113</v>
      </c>
      <c r="C105" s="323"/>
      <c r="D105" s="97">
        <f>'vSphere Pricing'!I8</f>
        <v>137.89500000000001</v>
      </c>
      <c r="E105" s="176">
        <f>IF('vSphere Pricing'!B8="1",D105*$F$9,"N/A")</f>
        <v>2206.3200000000002</v>
      </c>
      <c r="F105" s="97">
        <f>'vSphere Pricing'!M8</f>
        <v>330.94799999999998</v>
      </c>
      <c r="G105" s="96">
        <f>IF('vSphere Pricing'!B8="1",F105*$F$9,"N/A")</f>
        <v>5295.1679999999997</v>
      </c>
      <c r="H105" s="97">
        <f>'vSphere Pricing'!Q8</f>
        <v>551.58000000000004</v>
      </c>
      <c r="I105" s="176">
        <f>IF('vSphere Pricing'!B8="1",H105*$F$9,"N/A")</f>
        <v>8825.2800000000007</v>
      </c>
      <c r="J105" s="162" t="str" cm="1">
        <f t="array" ref="J105">IF(C12="Yes"," - vSphere Enterprise plus does not support vSAN - ","")&amp;IF(C13="Yes"," - vSphere Enterprise plus does not support NSX - ","")&amp;IF(OR(F56:F65="Yes",G66:G67="Yes",G75:G92="Yes"),"- A feature selected is not supported - ","")&amp;IF(C14="Yes"," - vSphere Enterprise plus does not support Tanzu - ","")</f>
        <v/>
      </c>
      <c r="K105" s="101"/>
      <c r="M105" s="162"/>
      <c r="N105" s="162"/>
      <c r="O105" s="162"/>
    </row>
    <row r="106" spans="1:51" ht="42" customHeight="1" x14ac:dyDescent="0.2">
      <c r="B106" s="362" t="s">
        <v>114</v>
      </c>
      <c r="C106" s="363"/>
      <c r="D106" s="97">
        <f>'vSphere Pricing'!I9</f>
        <v>174.667</v>
      </c>
      <c r="E106" s="176">
        <f>IF('vSphere Pricing'!B9="1",D106*$F$9,"N/A")</f>
        <v>2794.672</v>
      </c>
      <c r="F106" s="97">
        <f>'vSphere Pricing'!M9</f>
        <v>413.685</v>
      </c>
      <c r="G106" s="96">
        <f>IF('vSphere Pricing'!B9="1",F106*$F$9,"N/A")</f>
        <v>6618.96</v>
      </c>
      <c r="H106" s="97">
        <f>'vSphere Pricing'!Q9</f>
        <v>689.47500000000002</v>
      </c>
      <c r="I106" s="176">
        <f>IF('vSphere Pricing'!B9="1",H106*$F$9,"N/A")</f>
        <v>11031.6</v>
      </c>
      <c r="J106" s="162" t="str" cm="1">
        <f t="array" ref="J106">IF(C13="Yes"," - vSphere Foundation  does not support NSX - ","") &amp;IF(OR(G66:G67="Yes")," - vSphere Foundation  does not support Vmware Firewall - ","")&amp;IF(OR(G75:G92="Yes"),"- A feature selected is not supported - ", "")</f>
        <v/>
      </c>
      <c r="K106" s="101"/>
      <c r="M106" s="162"/>
    </row>
    <row r="107" spans="1:51" ht="15.75" thickBot="1" x14ac:dyDescent="0.25">
      <c r="B107" s="326" t="s">
        <v>115</v>
      </c>
      <c r="C107" s="327"/>
      <c r="D107" s="98">
        <f>'vSphere Pricing'!I10</f>
        <v>321.755</v>
      </c>
      <c r="E107" s="177">
        <f>D107*$F$9</f>
        <v>5148.08</v>
      </c>
      <c r="F107" s="98">
        <f>'vSphere Pricing'!M10</f>
        <v>965.26499999999999</v>
      </c>
      <c r="G107" s="99">
        <f>F107*$F$9</f>
        <v>15444.24</v>
      </c>
      <c r="H107" s="98">
        <f>'vSphere Pricing'!Q10</f>
        <v>1608.7750000000001</v>
      </c>
      <c r="I107" s="177">
        <f>H107*$F$9</f>
        <v>25740.400000000001</v>
      </c>
      <c r="J107" s="162"/>
      <c r="K107" s="101"/>
      <c r="M107" s="162"/>
    </row>
    <row r="108" spans="1:51" x14ac:dyDescent="0.2">
      <c r="B108" s="100"/>
      <c r="C108" s="9"/>
      <c r="D108" s="9"/>
      <c r="E108" s="9"/>
      <c r="F108" s="9"/>
      <c r="G108" s="9"/>
    </row>
    <row r="109" spans="1:51" x14ac:dyDescent="0.2">
      <c r="C109" s="9"/>
      <c r="D109" s="9"/>
      <c r="E109" s="101"/>
      <c r="F109" s="9"/>
      <c r="G109" s="101"/>
      <c r="H109" s="102"/>
      <c r="I109" s="101"/>
      <c r="J109" s="102"/>
    </row>
    <row r="110" spans="1:51" x14ac:dyDescent="0.2">
      <c r="B110" s="9"/>
      <c r="C110" s="9"/>
      <c r="D110" s="9"/>
      <c r="E110" s="101"/>
      <c r="F110" s="9"/>
      <c r="G110" s="101"/>
      <c r="H110" s="102"/>
      <c r="I110" s="101"/>
      <c r="J110" s="102"/>
    </row>
    <row r="111" spans="1:51" x14ac:dyDescent="0.2">
      <c r="B111" s="9"/>
      <c r="C111" s="9"/>
      <c r="D111" s="9"/>
      <c r="E111" s="9"/>
      <c r="F111" s="9"/>
      <c r="G111" s="9"/>
    </row>
    <row r="112" spans="1:51" ht="27" x14ac:dyDescent="0.35">
      <c r="B112" s="325" t="str">
        <f>"vSAN" &amp; IF(C12="Yes"," - Total amount of TiB to be licensed : "&amp; ROUNDUP(F12,0)," - Currently not selected, if needed select YES in top table")</f>
        <v>vSAN - Currently not selected, if needed select YES in top table</v>
      </c>
      <c r="C112" s="325"/>
      <c r="D112" s="325"/>
      <c r="E112" s="325"/>
      <c r="F112" s="325"/>
      <c r="G112" s="325"/>
      <c r="H112" s="325"/>
      <c r="I112" s="325"/>
      <c r="J112" s="325"/>
      <c r="K112" s="325"/>
      <c r="L112" s="325"/>
      <c r="M112" s="325"/>
      <c r="N112" s="325"/>
      <c r="O112" s="325"/>
    </row>
    <row r="113" spans="2:15" ht="15.75" thickBot="1" x14ac:dyDescent="0.25">
      <c r="B113" s="352"/>
      <c r="C113" s="352"/>
      <c r="D113" s="104"/>
      <c r="E113" s="104"/>
      <c r="F113" s="104"/>
      <c r="G113" s="104"/>
      <c r="H113" s="101"/>
      <c r="I113" s="105"/>
      <c r="J113" s="104"/>
      <c r="K113" s="104"/>
      <c r="L113" s="101"/>
      <c r="M113" s="105"/>
    </row>
    <row r="114" spans="2:15" ht="15.75" customHeight="1" thickBot="1" x14ac:dyDescent="0.25">
      <c r="B114" s="103"/>
      <c r="C114" s="103"/>
      <c r="D114" s="104"/>
      <c r="E114" s="104"/>
      <c r="F114" s="364" t="s">
        <v>108</v>
      </c>
      <c r="G114" s="370"/>
      <c r="H114" s="355" t="s">
        <v>109</v>
      </c>
      <c r="I114" s="360"/>
      <c r="J114" s="355" t="s">
        <v>110</v>
      </c>
      <c r="K114" s="356"/>
      <c r="O114" s="167"/>
    </row>
    <row r="115" spans="2:15" ht="19.5" customHeight="1" x14ac:dyDescent="0.2">
      <c r="B115" s="353" t="s">
        <v>107</v>
      </c>
      <c r="C115" s="354"/>
      <c r="D115" s="308" t="s">
        <v>116</v>
      </c>
      <c r="E115" s="314" t="s">
        <v>117</v>
      </c>
      <c r="F115" s="181" t="s">
        <v>118</v>
      </c>
      <c r="G115" s="182" t="s">
        <v>112</v>
      </c>
      <c r="H115" s="107" t="s">
        <v>118</v>
      </c>
      <c r="I115" s="178" t="s">
        <v>112</v>
      </c>
      <c r="J115" s="181" t="s">
        <v>118</v>
      </c>
      <c r="K115" s="182" t="s">
        <v>112</v>
      </c>
    </row>
    <row r="116" spans="2:15" ht="19.5" customHeight="1" x14ac:dyDescent="0.2">
      <c r="B116" s="328" t="s">
        <v>114</v>
      </c>
      <c r="C116" s="329"/>
      <c r="D116" s="312">
        <f>IF(F13="vSphere 7",0,F9*0.25)</f>
        <v>4</v>
      </c>
      <c r="E116" s="315" t="str">
        <f>IF(C12="Yes",IF(D116&gt;=F12,0,ROUNDUP(F12,0)-D116),"")</f>
        <v/>
      </c>
      <c r="F116" s="371">
        <f>'vSphere Pricing'!I11</f>
        <v>193.053</v>
      </c>
      <c r="G116" s="183">
        <f>IF(C12="Yes",E116*F116,0)</f>
        <v>0</v>
      </c>
      <c r="H116" s="357">
        <f>'vSphere Pricing'!M11</f>
        <v>579.15899999999999</v>
      </c>
      <c r="I116" s="179">
        <f>IF(C12="Yes",E116*H116,0)</f>
        <v>0</v>
      </c>
      <c r="J116" s="357">
        <f>'vSphere Pricing'!Q11</f>
        <v>965.26499999999999</v>
      </c>
      <c r="K116" s="310">
        <f>IF(C12="Yes",J116*E116,0)</f>
        <v>0</v>
      </c>
      <c r="O116" s="105"/>
    </row>
    <row r="117" spans="2:15" ht="19.5" customHeight="1" thickBot="1" x14ac:dyDescent="0.25">
      <c r="B117" s="326" t="s">
        <v>115</v>
      </c>
      <c r="C117" s="361"/>
      <c r="D117" s="313">
        <f>F9*1</f>
        <v>16</v>
      </c>
      <c r="E117" s="316" t="str">
        <f>IF(C12="Yes",IF(D117&gt;=F12,0,ROUNDUP(F12,0)-D117),"")</f>
        <v/>
      </c>
      <c r="F117" s="372"/>
      <c r="G117" s="184">
        <f>IF(C12="Yes",E117*F116,0)</f>
        <v>0</v>
      </c>
      <c r="H117" s="358"/>
      <c r="I117" s="180">
        <f>IF(C12="Yes",E117*H116,0)</f>
        <v>0</v>
      </c>
      <c r="J117" s="358"/>
      <c r="K117" s="311">
        <f>IF(C12="Yes",J116*E117,0)</f>
        <v>0</v>
      </c>
      <c r="O117" s="168"/>
    </row>
    <row r="118" spans="2:15" ht="19.5" customHeight="1" x14ac:dyDescent="0.2">
      <c r="B118" s="100" t="s">
        <v>119</v>
      </c>
      <c r="C118" s="108"/>
      <c r="D118" s="109"/>
      <c r="E118" s="109"/>
      <c r="F118" s="110"/>
      <c r="G118" s="110"/>
      <c r="H118" s="110"/>
    </row>
    <row r="119" spans="2:15" ht="19.5" customHeight="1" x14ac:dyDescent="0.2">
      <c r="B119" s="100" t="s">
        <v>306</v>
      </c>
      <c r="C119" s="108"/>
      <c r="D119" s="109"/>
      <c r="E119" s="109"/>
      <c r="F119" s="110"/>
      <c r="G119" s="110"/>
      <c r="H119" s="110"/>
    </row>
    <row r="120" spans="2:15" ht="19.5" customHeight="1" x14ac:dyDescent="0.2">
      <c r="C120" s="108"/>
      <c r="D120" s="109"/>
      <c r="E120" s="109"/>
      <c r="F120" s="110"/>
      <c r="G120" s="110"/>
      <c r="H120" s="110"/>
      <c r="K120" s="110"/>
      <c r="L120" s="110"/>
      <c r="M120" s="101"/>
      <c r="N120" s="110"/>
    </row>
    <row r="121" spans="2:15" x14ac:dyDescent="0.2">
      <c r="B121" s="108"/>
      <c r="C121" s="108"/>
      <c r="D121" s="9"/>
      <c r="E121" s="9"/>
      <c r="F121" s="9"/>
      <c r="G121" s="9"/>
      <c r="L121" s="101"/>
      <c r="N121" s="101"/>
    </row>
    <row r="122" spans="2:15" ht="46.5" customHeight="1" x14ac:dyDescent="0.2">
      <c r="B122" s="373" t="s">
        <v>307</v>
      </c>
      <c r="C122" s="373"/>
      <c r="D122" s="373"/>
      <c r="E122" s="373"/>
      <c r="F122" s="373"/>
      <c r="G122" s="373"/>
      <c r="H122" s="373"/>
      <c r="I122" s="373"/>
      <c r="J122" s="373"/>
      <c r="K122" s="373"/>
    </row>
    <row r="123" spans="2:15" ht="18" customHeight="1" x14ac:dyDescent="0.2">
      <c r="B123" s="373"/>
      <c r="C123" s="373"/>
      <c r="D123" s="373"/>
      <c r="E123" s="373"/>
      <c r="F123" s="373"/>
      <c r="G123" s="373"/>
      <c r="H123" s="373"/>
      <c r="I123" s="373"/>
      <c r="J123" s="373"/>
      <c r="K123" s="373"/>
    </row>
    <row r="124" spans="2:15" x14ac:dyDescent="0.2">
      <c r="B124" s="373"/>
      <c r="C124" s="373"/>
      <c r="D124" s="373"/>
      <c r="E124" s="373"/>
      <c r="F124" s="373"/>
      <c r="G124" s="373"/>
      <c r="H124" s="373"/>
      <c r="I124" s="373"/>
      <c r="J124" s="373"/>
      <c r="K124" s="373"/>
    </row>
    <row r="125" spans="2:15" x14ac:dyDescent="0.2">
      <c r="B125" s="373"/>
      <c r="C125" s="373"/>
      <c r="D125" s="373"/>
      <c r="E125" s="373"/>
      <c r="F125" s="373"/>
      <c r="G125" s="373"/>
      <c r="H125" s="373"/>
      <c r="I125" s="373"/>
      <c r="J125" s="373"/>
      <c r="K125" s="373"/>
    </row>
    <row r="126" spans="2:15" ht="15.75" customHeight="1" x14ac:dyDescent="0.2">
      <c r="B126" s="373"/>
      <c r="C126" s="373"/>
      <c r="D126" s="373"/>
      <c r="E126" s="373"/>
      <c r="F126" s="373"/>
      <c r="G126" s="373"/>
      <c r="H126" s="373"/>
      <c r="I126" s="373"/>
      <c r="J126" s="373"/>
      <c r="K126" s="373"/>
    </row>
    <row r="127" spans="2:15" x14ac:dyDescent="0.2">
      <c r="B127" s="373"/>
      <c r="C127" s="373"/>
      <c r="D127" s="373"/>
      <c r="E127" s="373"/>
      <c r="F127" s="373"/>
      <c r="G127" s="373"/>
      <c r="H127" s="373"/>
      <c r="I127" s="373"/>
      <c r="J127" s="373"/>
      <c r="K127" s="373"/>
    </row>
    <row r="128" spans="2:15" x14ac:dyDescent="0.2">
      <c r="B128" s="9"/>
      <c r="C128" s="9"/>
      <c r="D128" s="9"/>
      <c r="E128" s="111"/>
      <c r="F128" s="9"/>
      <c r="G128" s="9"/>
      <c r="H128" s="110"/>
      <c r="J128" s="110"/>
    </row>
    <row r="129" spans="2:15" x14ac:dyDescent="0.2">
      <c r="B129" s="9"/>
      <c r="C129" s="9"/>
      <c r="D129" s="9"/>
      <c r="E129" s="111"/>
      <c r="F129" s="9"/>
      <c r="G129" s="9"/>
    </row>
    <row r="130" spans="2:15" ht="27" x14ac:dyDescent="0.35">
      <c r="B130" s="325" t="s">
        <v>120</v>
      </c>
      <c r="C130" s="325"/>
      <c r="D130" s="325"/>
      <c r="E130" s="325"/>
      <c r="F130" s="325"/>
      <c r="G130" s="325"/>
      <c r="H130" s="325"/>
      <c r="I130" s="325"/>
      <c r="J130" s="325"/>
      <c r="K130" s="325"/>
      <c r="L130" s="325"/>
      <c r="M130" s="325"/>
      <c r="N130" s="325"/>
      <c r="O130" s="325"/>
    </row>
    <row r="131" spans="2:15" x14ac:dyDescent="0.2">
      <c r="B131" s="9"/>
      <c r="C131" s="9"/>
      <c r="D131" s="9"/>
      <c r="E131" s="9"/>
      <c r="F131" s="9"/>
      <c r="G131" s="9"/>
    </row>
    <row r="132" spans="2:15" x14ac:dyDescent="0.2">
      <c r="B132" s="9" t="s">
        <v>121</v>
      </c>
      <c r="C132" s="9"/>
      <c r="D132" s="9"/>
      <c r="E132" s="110"/>
      <c r="F132" s="9"/>
      <c r="G132" s="9"/>
    </row>
    <row r="133" spans="2:15" x14ac:dyDescent="0.2">
      <c r="B133" s="26" t="str" cm="1">
        <f t="array" ref="B133">IF(OR('Add-on Pricing'!G23:G25="Yes",'Add-on Pricing'!G21="Yes"),"TSE=Technical Support Engineer","")</f>
        <v/>
      </c>
      <c r="C133" s="9"/>
      <c r="D133" s="9"/>
      <c r="E133" s="9"/>
      <c r="F133" s="9"/>
      <c r="G133" s="9"/>
      <c r="I133" s="330"/>
      <c r="J133" s="330"/>
      <c r="K133" s="330"/>
    </row>
    <row r="134" spans="2:15" x14ac:dyDescent="0.2">
      <c r="B134" s="331" t="s">
        <v>122</v>
      </c>
      <c r="C134" s="331"/>
      <c r="D134" s="106" t="s">
        <v>123</v>
      </c>
      <c r="E134" s="106" t="s">
        <v>124</v>
      </c>
      <c r="F134" s="106" t="s">
        <v>112</v>
      </c>
      <c r="G134" s="106" t="s">
        <v>123</v>
      </c>
      <c r="H134" s="106" t="s">
        <v>124</v>
      </c>
      <c r="I134" s="106" t="s">
        <v>112</v>
      </c>
      <c r="J134" s="106" t="s">
        <v>123</v>
      </c>
      <c r="K134" s="106" t="s">
        <v>124</v>
      </c>
      <c r="L134" s="106" t="s">
        <v>112</v>
      </c>
    </row>
    <row r="135" spans="2:15" x14ac:dyDescent="0.2">
      <c r="B135" s="332" t="str">
        <f>IFERROR(INDEX('Add-on Pricing'!$F$6:$F$42,MATCH(ROW()-ROW($B$134),'Add-on Pricing'!E$6:E$42,0)),"")</f>
        <v/>
      </c>
      <c r="C135" s="332"/>
      <c r="D135" s="112" t="str">
        <f>IF(B135="","",IF(VLOOKUP(B135,'Add-on Pricing'!$F$6:$T$42,3,0)="NA","On request",VLOOKUP(B135,'Add-on Pricing'!$F$6:$T$42,3,0)))</f>
        <v/>
      </c>
      <c r="E135" s="112" t="str">
        <f>IF(D135="On request","",IF(B135="","",VLOOKUP($B135,'Add-on Pricing'!$F$6:$T$42,6,0)))</f>
        <v/>
      </c>
      <c r="F135" s="112" t="str">
        <f>IF(D135="On request","",IF(B135="","",E135*(VLOOKUP($B135,'Add-on Pricing'!$F$6:$T$42,15,0))))</f>
        <v/>
      </c>
      <c r="G135" s="112" t="str">
        <f>IF(D135="On request","",IF(B135="","",IF(VLOOKUP($B135,'Add-on Pricing'!$F$6:$T$42,7,0)="NA","",VLOOKUP($B135,'Add-on Pricing'!$F$6:$T$42,7,0))))</f>
        <v/>
      </c>
      <c r="H135" s="112" t="str">
        <f>IF(D135="On request","",IF(B135="","",IF(VLOOKUP($B135,'Add-on Pricing'!$F$6:$T$42,7,0)="NA","",VLOOKUP($B135,'Add-on Pricing'!$F$6:$T$42,10,0))))</f>
        <v/>
      </c>
      <c r="I135" s="112" t="str">
        <f>IF(D135="On request","",IF(E135="","",IF(VLOOKUP($B135,'Add-on Pricing'!$F$6:$T$42,7,0)="NA","",H135*(VLOOKUP($B135,'Add-on Pricing'!$F$6:$T$42,15,0)))))</f>
        <v/>
      </c>
      <c r="J135" s="112" t="str">
        <f>IF(D135="On request","",IF(B135="","",IF(VLOOKUP($B135,'Add-on Pricing'!$F$6:$T$42,11,0)="NA","",VLOOKUP($B135,'Add-on Pricing'!$F$6:$T$42,11,0))))</f>
        <v/>
      </c>
      <c r="K135" s="112" t="str">
        <f>IF(D135="On request","",IF(B135="","",IF(J135="","",VLOOKUP($B135,'Add-on Pricing'!$F$6:$T$42,14,0))))</f>
        <v/>
      </c>
      <c r="L135" s="112" t="str">
        <f>IF(D135="On request","",IF(H135="","",IF(K135="","",K135*(VLOOKUP($B135,'Add-on Pricing'!$F$6:$T$42,15,0)))))</f>
        <v/>
      </c>
    </row>
    <row r="136" spans="2:15" ht="15" customHeight="1" x14ac:dyDescent="0.2">
      <c r="B136" s="332" t="str">
        <f>IFERROR(INDEX('Add-on Pricing'!$F$6:$F$42,MATCH(ROW()-ROW($B$134),'Add-on Pricing'!E$6:E$42,0)),"")</f>
        <v/>
      </c>
      <c r="C136" s="332"/>
      <c r="D136" s="112" t="str">
        <f>IF(B136="","",IF(VLOOKUP(B136,'Add-on Pricing'!$F$6:$T$42,3,0)="NA","On request",VLOOKUP(B136,'Add-on Pricing'!$F$6:$T$42,3,0)))</f>
        <v/>
      </c>
      <c r="E136" s="112" t="str">
        <f>IF(D136="On request","",IF(B136="","",VLOOKUP($B136,'Add-on Pricing'!$F$6:$T$42,6,0)))</f>
        <v/>
      </c>
      <c r="F136" s="112" t="str">
        <f>IF(D136="On request","",IF(B136="","",E136*(VLOOKUP($B136,'Add-on Pricing'!$F$6:$T$42,15,0))))</f>
        <v/>
      </c>
      <c r="G136" s="112" t="str">
        <f>IF(D136="On request","",IF(B136="","",IF(VLOOKUP($B136,'Add-on Pricing'!$F$6:$T$42,7,0)="NA","",VLOOKUP($B136,'Add-on Pricing'!$F$6:$T$42,7,0))))</f>
        <v/>
      </c>
      <c r="H136" s="112" t="str">
        <f>IF(D136="On request","",IF(B136="","",IF(VLOOKUP($B136,'Add-on Pricing'!$F$6:$T$42,7,0)="NA","",VLOOKUP($B136,'Add-on Pricing'!$F$6:$T$42,10,0))))</f>
        <v/>
      </c>
      <c r="I136" s="112" t="str">
        <f>IF(D136="On request","",IF(E136="","",IF(VLOOKUP($B136,'Add-on Pricing'!$F$6:$T$42,7,0)="NA","",H136*(VLOOKUP($B136,'Add-on Pricing'!$F$6:$T$42,15,0)))))</f>
        <v/>
      </c>
      <c r="J136" s="112" t="str">
        <f>IF(D136="On request","",IF(B136="","",IF(VLOOKUP($B136,'Add-on Pricing'!$F$6:$T$42,11,0)="NA","",VLOOKUP($B136,'Add-on Pricing'!$F$6:$T$42,11,0))))</f>
        <v/>
      </c>
      <c r="K136" s="112" t="str">
        <f>IF(D136="On request","",IF(B136="","",IF(J136="","",VLOOKUP($B136,'Add-on Pricing'!$F$6:$T$42,14,0))))</f>
        <v/>
      </c>
      <c r="L136" s="112" t="str">
        <f>IF(D136="On request","",IF(H136="","",IF(K136="","",K136*(VLOOKUP($B136,'Add-on Pricing'!$F$6:$T$42,15,0)))))</f>
        <v/>
      </c>
    </row>
    <row r="137" spans="2:15" x14ac:dyDescent="0.2">
      <c r="B137" s="332" t="str">
        <f>IFERROR(INDEX('Add-on Pricing'!$F$6:$F$42,MATCH(ROW()-ROW($B$134),'Add-on Pricing'!E$6:E$42,0)),"")</f>
        <v/>
      </c>
      <c r="C137" s="332"/>
      <c r="D137" s="112" t="str">
        <f>IF(B137="","",IF(VLOOKUP(B137,'Add-on Pricing'!$F$6:$T$42,3,0)="NA","On request",VLOOKUP(B137,'Add-on Pricing'!$F$6:$T$42,3,0)))</f>
        <v/>
      </c>
      <c r="E137" s="112" t="str">
        <f>IF(D137="On request","",IF(B137="","",VLOOKUP($B137,'Add-on Pricing'!$F$6:$T$42,6,0)))</f>
        <v/>
      </c>
      <c r="F137" s="112" t="str">
        <f>IF(D137="On request","",IF(B137="","",E137*(VLOOKUP($B137,'Add-on Pricing'!$F$6:$T$42,15,0))))</f>
        <v/>
      </c>
      <c r="G137" s="112" t="str">
        <f>IF(D137="On request","",IF(B137="","",IF(VLOOKUP($B137,'Add-on Pricing'!$F$6:$T$42,7,0)="NA","",VLOOKUP($B137,'Add-on Pricing'!$F$6:$T$42,7,0))))</f>
        <v/>
      </c>
      <c r="H137" s="112" t="str">
        <f>IF(D137="On request","",IF(B137="","",IF(VLOOKUP($B137,'Add-on Pricing'!$F$6:$T$42,7,0)="NA","",VLOOKUP($B137,'Add-on Pricing'!$F$6:$T$42,10,0))))</f>
        <v/>
      </c>
      <c r="I137" s="112" t="str">
        <f>IF(D137="On request","",IF(E137="","",IF(VLOOKUP($B137,'Add-on Pricing'!$F$6:$T$42,7,0)="NA","",H137*(VLOOKUP($B137,'Add-on Pricing'!$F$6:$T$42,15,0)))))</f>
        <v/>
      </c>
      <c r="J137" s="112" t="str">
        <f>IF(D137="On request","",IF(B137="","",IF(VLOOKUP($B137,'Add-on Pricing'!$F$6:$T$42,11,0)="NA","",VLOOKUP($B137,'Add-on Pricing'!$F$6:$T$42,11,0))))</f>
        <v/>
      </c>
      <c r="K137" s="112" t="str">
        <f>IF(D137="On request","",IF(B137="","",IF(J137="","",VLOOKUP($B137,'Add-on Pricing'!$F$6:$T$42,14,0))))</f>
        <v/>
      </c>
      <c r="L137" s="112" t="str">
        <f>IF(D137="On request","",IF(H137="","",IF(K137="","",K137*(VLOOKUP($B137,'Add-on Pricing'!$F$6:$T$42,15,0)))))</f>
        <v/>
      </c>
    </row>
    <row r="138" spans="2:15" x14ac:dyDescent="0.2">
      <c r="B138" s="332" t="str">
        <f>IFERROR(INDEX('Add-on Pricing'!$F$6:$F$42,MATCH(ROW()-ROW($B$134),'Add-on Pricing'!E$6:E$42,0)),"")</f>
        <v/>
      </c>
      <c r="C138" s="332"/>
      <c r="D138" s="112" t="str">
        <f>IF(B138="","",IF(VLOOKUP(B138,'Add-on Pricing'!$F$6:$T$42,3,0)="NA","On request",VLOOKUP(B138,'Add-on Pricing'!$F$6:$T$42,3,0)))</f>
        <v/>
      </c>
      <c r="E138" s="112" t="str">
        <f>IF(D138="On request","",IF(B138="","",VLOOKUP($B138,'Add-on Pricing'!$F$6:$T$42,6,0)))</f>
        <v/>
      </c>
      <c r="F138" s="112" t="str">
        <f>IF(D138="On request","",IF(B138="","",E138*(VLOOKUP($B138,'Add-on Pricing'!$F$6:$T$42,15,0))))</f>
        <v/>
      </c>
      <c r="G138" s="112" t="str">
        <f>IF(D138="On request","",IF(B138="","",IF(VLOOKUP($B138,'Add-on Pricing'!$F$6:$T$42,7,0)="NA","",VLOOKUP($B138,'Add-on Pricing'!$F$6:$T$42,7,0))))</f>
        <v/>
      </c>
      <c r="H138" s="112" t="str">
        <f>IF(D138="On request","",IF(B138="","",IF(VLOOKUP($B138,'Add-on Pricing'!$F$6:$T$42,7,0)="NA","",VLOOKUP($B138,'Add-on Pricing'!$F$6:$T$42,10,0))))</f>
        <v/>
      </c>
      <c r="I138" s="112" t="str">
        <f>IF(D138="On request","",IF(E138="","",IF(VLOOKUP($B138,'Add-on Pricing'!$F$6:$T$42,7,0)="NA","",H138*(VLOOKUP($B138,'Add-on Pricing'!$F$6:$T$42,15,0)))))</f>
        <v/>
      </c>
      <c r="J138" s="112" t="str">
        <f>IF(D138="On request","",IF(B138="","",IF(VLOOKUP($B138,'Add-on Pricing'!$F$6:$T$42,11,0)="NA","",VLOOKUP($B138,'Add-on Pricing'!$F$6:$T$42,11,0))))</f>
        <v/>
      </c>
      <c r="K138" s="112" t="str">
        <f>IF(D138="On request","",IF(B138="","",IF(J138="","",VLOOKUP($B138,'Add-on Pricing'!$F$6:$T$42,14,0))))</f>
        <v/>
      </c>
      <c r="L138" s="112" t="str">
        <f>IF(D138="On request","",IF(H138="","",IF(K138="","",K138*(VLOOKUP($B138,'Add-on Pricing'!$F$6:$T$42,15,0)))))</f>
        <v/>
      </c>
    </row>
    <row r="139" spans="2:15" ht="34.5" customHeight="1" x14ac:dyDescent="0.2">
      <c r="B139" s="332" t="str">
        <f>IFERROR(INDEX('Add-on Pricing'!$F$6:$F$42,MATCH(ROW()-ROW($B$134),'Add-on Pricing'!E$6:E$42,0)),"")</f>
        <v/>
      </c>
      <c r="C139" s="332"/>
      <c r="D139" s="112" t="str">
        <f>IF(B139="","",IF(VLOOKUP(B139,'Add-on Pricing'!$F$6:$T$42,3,0)="NA","On request",VLOOKUP(B139,'Add-on Pricing'!$F$6:$T$42,3,0)))</f>
        <v/>
      </c>
      <c r="E139" s="112" t="str">
        <f>IF(D139="On request","",IF(B139="","",VLOOKUP($B139,'Add-on Pricing'!$F$6:$T$42,6,0)))</f>
        <v/>
      </c>
      <c r="F139" s="112" t="str">
        <f>IF(D139="On request","",IF(B139="","",E139*(VLOOKUP($B139,'Add-on Pricing'!$F$6:$T$42,15,0))))</f>
        <v/>
      </c>
      <c r="G139" s="112" t="str">
        <f>IF(D139="On request","",IF(B139="","",IF(VLOOKUP($B139,'Add-on Pricing'!$F$6:$T$42,7,0)="NA","",VLOOKUP($B139,'Add-on Pricing'!$F$6:$T$42,7,0))))</f>
        <v/>
      </c>
      <c r="H139" s="112" t="str">
        <f>IF(D139="On request","",IF(B139="","",IF(VLOOKUP($B139,'Add-on Pricing'!$F$6:$T$42,7,0)="NA","",VLOOKUP($B139,'Add-on Pricing'!$F$6:$T$42,10,0))))</f>
        <v/>
      </c>
      <c r="I139" s="112" t="str">
        <f>IF(D139="On request","",IF(E139="","",IF(VLOOKUP($B139,'Add-on Pricing'!$F$6:$T$42,7,0)="NA","",H139*(VLOOKUP($B139,'Add-on Pricing'!$F$6:$T$42,15,0)))))</f>
        <v/>
      </c>
      <c r="J139" s="112" t="str">
        <f>IF(D139="On request","",IF(B139="","",IF(VLOOKUP($B139,'Add-on Pricing'!$F$6:$T$42,11,0)="NA","",VLOOKUP($B139,'Add-on Pricing'!$F$6:$T$42,11,0))))</f>
        <v/>
      </c>
      <c r="K139" s="112" t="str">
        <f>IF(D139="On request","",IF(B139="","",IF(J139="","",VLOOKUP($B139,'Add-on Pricing'!$F$6:$T$42,14,0))))</f>
        <v/>
      </c>
      <c r="L139" s="112" t="str">
        <f>IF(D139="On request","",IF(H139="","",IF(K139="","",K139*(VLOOKUP($B139,'Add-on Pricing'!$F$6:$T$42,15,0)))))</f>
        <v/>
      </c>
    </row>
    <row r="140" spans="2:15" x14ac:dyDescent="0.2">
      <c r="B140" s="332" t="str">
        <f>IFERROR(INDEX('Add-on Pricing'!$F$6:$F$42,MATCH(ROW()-ROW($B$134),'Add-on Pricing'!E$6:E$42,0)),"")</f>
        <v/>
      </c>
      <c r="C140" s="332"/>
      <c r="D140" s="112" t="str">
        <f>IF(B140="","",IF(VLOOKUP(B140,'Add-on Pricing'!$F$6:$T$42,3,0)="NA","On request",VLOOKUP(B140,'Add-on Pricing'!$F$6:$T$42,3,0)))</f>
        <v/>
      </c>
      <c r="E140" s="112" t="str">
        <f>IF(D140="On request","",IF(B140="","",VLOOKUP($B140,'Add-on Pricing'!$F$6:$T$42,6,0)))</f>
        <v/>
      </c>
      <c r="F140" s="112" t="str">
        <f>IF(D140="On request","",IF(B140="","",E140*(VLOOKUP($B140,'Add-on Pricing'!$F$6:$T$42,15,0))))</f>
        <v/>
      </c>
      <c r="G140" s="112" t="str">
        <f>IF(D140="On request","",IF(B140="","",IF(VLOOKUP($B140,'Add-on Pricing'!$F$6:$T$42,7,0)="NA","",VLOOKUP($B140,'Add-on Pricing'!$F$6:$T$42,7,0))))</f>
        <v/>
      </c>
      <c r="H140" s="112" t="str">
        <f>IF(D140="On request","",IF(B140="","",IF(VLOOKUP($B140,'Add-on Pricing'!$F$6:$T$42,7,0)="NA","",VLOOKUP($B140,'Add-on Pricing'!$F$6:$T$42,10,0))))</f>
        <v/>
      </c>
      <c r="I140" s="112" t="str">
        <f>IF(D140="On request","",IF(E140="","",IF(VLOOKUP($B140,'Add-on Pricing'!$F$6:$T$42,7,0)="NA","",H140*(VLOOKUP($B140,'Add-on Pricing'!$F$6:$T$42,15,0)))))</f>
        <v/>
      </c>
      <c r="J140" s="112" t="str">
        <f>IF(D140="On request","",IF(B140="","",IF(VLOOKUP($B140,'Add-on Pricing'!$F$6:$T$42,11,0)="NA","",VLOOKUP($B140,'Add-on Pricing'!$F$6:$T$42,11,0))))</f>
        <v/>
      </c>
      <c r="K140" s="112" t="str">
        <f>IF(D140="On request","",IF(B140="","",IF(J140="","",VLOOKUP($B140,'Add-on Pricing'!$F$6:$T$42,14,0))))</f>
        <v/>
      </c>
      <c r="L140" s="112" t="str">
        <f>IF(D140="On request","",IF(H140="","",IF(K140="","",K140*(VLOOKUP($B140,'Add-on Pricing'!$F$6:$T$42,15,0)))))</f>
        <v/>
      </c>
    </row>
    <row r="141" spans="2:15" x14ac:dyDescent="0.2">
      <c r="B141" s="332" t="str">
        <f>IFERROR(INDEX('Add-on Pricing'!$F$6:$F$42,MATCH(ROW()-ROW($B$134),'Add-on Pricing'!E$6:E$42,0)),"")</f>
        <v/>
      </c>
      <c r="C141" s="332"/>
      <c r="D141" s="112" t="str">
        <f>IF(B141="","",IF(VLOOKUP(B141,'Add-on Pricing'!$F$6:$T$42,3,0)="NA","On request",VLOOKUP(B141,'Add-on Pricing'!$F$6:$T$42,3,0)))</f>
        <v/>
      </c>
      <c r="E141" s="112" t="str">
        <f>IF(D141="On request","",IF(B141="","",VLOOKUP($B141,'Add-on Pricing'!$F$6:$T$42,6,0)))</f>
        <v/>
      </c>
      <c r="F141" s="112" t="str">
        <f>IF(D141="On request","",IF(B141="","",E141*(VLOOKUP($B141,'Add-on Pricing'!$F$6:$T$42,15,0))))</f>
        <v/>
      </c>
      <c r="G141" s="112" t="str">
        <f>IF(D141="On request","",IF(B141="","",IF(VLOOKUP($B141,'Add-on Pricing'!$F$6:$T$42,7,0)="NA","",VLOOKUP($B141,'Add-on Pricing'!$F$6:$T$42,7,0))))</f>
        <v/>
      </c>
      <c r="H141" s="112" t="str">
        <f>IF(D141="On request","",IF(B141="","",IF(VLOOKUP($B141,'Add-on Pricing'!$F$6:$T$42,7,0)="NA","",VLOOKUP($B141,'Add-on Pricing'!$F$6:$T$42,10,0))))</f>
        <v/>
      </c>
      <c r="I141" s="112" t="str">
        <f>IF(D141="On request","",IF(E141="","",IF(VLOOKUP($B141,'Add-on Pricing'!$F$6:$T$42,7,0)="NA","",H141*(VLOOKUP($B141,'Add-on Pricing'!$F$6:$T$42,15,0)))))</f>
        <v/>
      </c>
      <c r="J141" s="112" t="str">
        <f>IF(D141="On request","",IF(B141="","",IF(VLOOKUP($B141,'Add-on Pricing'!$F$6:$T$42,11,0)="NA","",VLOOKUP($B141,'Add-on Pricing'!$F$6:$T$42,11,0))))</f>
        <v/>
      </c>
      <c r="K141" s="112" t="str">
        <f>IF(D141="On request","",IF(B141="","",IF(J141="","",VLOOKUP($B141,'Add-on Pricing'!$F$6:$T$42,14,0))))</f>
        <v/>
      </c>
      <c r="L141" s="112" t="str">
        <f>IF(D141="On request","",IF(H141="","",IF(K141="","",K141*(VLOOKUP($B141,'Add-on Pricing'!$F$6:$T$42,15,0)))))</f>
        <v/>
      </c>
    </row>
    <row r="142" spans="2:15" x14ac:dyDescent="0.2">
      <c r="B142" s="332" t="str">
        <f>IFERROR(INDEX('Add-on Pricing'!$F$6:$F$42,MATCH(ROW()-ROW($B$134),'Add-on Pricing'!E$6:E$42,0)),"")</f>
        <v/>
      </c>
      <c r="C142" s="332"/>
      <c r="D142" s="112" t="str">
        <f>IF(B142="","",IF(VLOOKUP(B142,'Add-on Pricing'!$F$6:$T$42,3,0)="NA","On request",VLOOKUP(B142,'Add-on Pricing'!$F$6:$T$42,3,0)))</f>
        <v/>
      </c>
      <c r="E142" s="112" t="str">
        <f>IF(D142="On request","",IF(B142="","",VLOOKUP($B142,'Add-on Pricing'!$F$6:$T$42,6,0)))</f>
        <v/>
      </c>
      <c r="F142" s="112" t="str">
        <f>IF(D142="On request","",IF(B142="","",E142*(VLOOKUP($B142,'Add-on Pricing'!$F$6:$T$42,15,0))))</f>
        <v/>
      </c>
      <c r="G142" s="112" t="str">
        <f>IF(D142="On request","",IF(B142="","",IF(VLOOKUP($B142,'Add-on Pricing'!$F$6:$T$42,7,0)="NA","",VLOOKUP($B142,'Add-on Pricing'!$F$6:$T$42,7,0))))</f>
        <v/>
      </c>
      <c r="H142" s="112" t="str">
        <f>IF(D142="On request","",IF(B142="","",IF(VLOOKUP($B142,'Add-on Pricing'!$F$6:$T$42,7,0)="NA","",VLOOKUP($B142,'Add-on Pricing'!$F$6:$T$42,10,0))))</f>
        <v/>
      </c>
      <c r="I142" s="112" t="str">
        <f>IF(D142="On request","",IF(E142="","",IF(VLOOKUP($B142,'Add-on Pricing'!$F$6:$T$42,7,0)="NA","",H142*(VLOOKUP($B142,'Add-on Pricing'!$F$6:$T$42,15,0)))))</f>
        <v/>
      </c>
      <c r="J142" s="112" t="str">
        <f>IF(D142="On request","",IF(B142="","",IF(VLOOKUP($B142,'Add-on Pricing'!$F$6:$T$42,11,0)="NA","",VLOOKUP($B142,'Add-on Pricing'!$F$6:$T$42,11,0))))</f>
        <v/>
      </c>
      <c r="K142" s="112" t="str">
        <f>IF(D142="On request","",IF(B142="","",IF(J142="","",VLOOKUP($B142,'Add-on Pricing'!$F$6:$T$42,14,0))))</f>
        <v/>
      </c>
      <c r="L142" s="112" t="str">
        <f>IF(D142="On request","",IF(H142="","",IF(K142="","",K142*(VLOOKUP($B142,'Add-on Pricing'!$F$6:$T$42,15,0)))))</f>
        <v/>
      </c>
    </row>
    <row r="143" spans="2:15" x14ac:dyDescent="0.2">
      <c r="B143" s="332" t="str">
        <f>IFERROR(INDEX('Add-on Pricing'!$F$6:$F$42,MATCH(ROW()-ROW($B$134),'Add-on Pricing'!E$6:E$42,0)),"")</f>
        <v/>
      </c>
      <c r="C143" s="332"/>
      <c r="D143" s="112" t="str">
        <f>IF(B143="","",IF(VLOOKUP(B143,'Add-on Pricing'!$F$6:$T$42,3,0)="NA","On request",VLOOKUP(B143,'Add-on Pricing'!$F$6:$T$42,3,0)))</f>
        <v/>
      </c>
      <c r="E143" s="112" t="str">
        <f>IF(D143="On request","",IF(B143="","",VLOOKUP($B143,'Add-on Pricing'!$F$6:$T$42,6,0)))</f>
        <v/>
      </c>
      <c r="F143" s="112" t="str">
        <f>IF(D143="On request","",IF(B143="","",E143*(VLOOKUP($B143,'Add-on Pricing'!$F$6:$T$42,15,0))))</f>
        <v/>
      </c>
      <c r="G143" s="112" t="str">
        <f>IF(D143="On request","",IF(B143="","",IF(VLOOKUP($B143,'Add-on Pricing'!$F$6:$T$42,7,0)="NA","",VLOOKUP($B143,'Add-on Pricing'!$F$6:$T$42,7,0))))</f>
        <v/>
      </c>
      <c r="H143" s="112" t="str">
        <f>IF(D143="On request","",IF(B143="","",IF(VLOOKUP($B143,'Add-on Pricing'!$F$6:$T$42,7,0)="NA","",VLOOKUP($B143,'Add-on Pricing'!$F$6:$T$42,10,0))))</f>
        <v/>
      </c>
      <c r="I143" s="112" t="str">
        <f>IF(D143="On request","",IF(E143="","",IF(VLOOKUP($B143,'Add-on Pricing'!$F$6:$T$42,7,0)="NA","",H143*(VLOOKUP($B143,'Add-on Pricing'!$F$6:$T$42,15,0)))))</f>
        <v/>
      </c>
      <c r="J143" s="112" t="str">
        <f>IF(D143="On request","",IF(B143="","",IF(VLOOKUP($B143,'Add-on Pricing'!$F$6:$T$42,11,0)="NA","",VLOOKUP($B143,'Add-on Pricing'!$F$6:$T$42,11,0))))</f>
        <v/>
      </c>
      <c r="K143" s="112" t="str">
        <f>IF(D143="On request","",IF(B143="","",IF(J143="","",VLOOKUP($B143,'Add-on Pricing'!$F$6:$T$42,14,0))))</f>
        <v/>
      </c>
      <c r="L143" s="112" t="str">
        <f>IF(D143="On request","",IF(H143="","",IF(K143="","",K143*(VLOOKUP($B143,'Add-on Pricing'!$F$6:$T$42,15,0)))))</f>
        <v/>
      </c>
    </row>
    <row r="144" spans="2:15" x14ac:dyDescent="0.2">
      <c r="B144" s="332" t="str">
        <f>IFERROR(INDEX('Add-on Pricing'!$F$6:$F$42,MATCH(ROW()-ROW($B$134),'Add-on Pricing'!E$6:E$42,0)),"")</f>
        <v/>
      </c>
      <c r="C144" s="332"/>
      <c r="D144" s="112" t="str">
        <f>IF(B144="","",IF(VLOOKUP(B144,'Add-on Pricing'!$F$6:$T$42,3,0)="NA","On request",VLOOKUP(B144,'Add-on Pricing'!$F$6:$T$42,3,0)))</f>
        <v/>
      </c>
      <c r="E144" s="112" t="str">
        <f>IF(D144="On request","",IF(B144="","",VLOOKUP($B144,'Add-on Pricing'!$F$6:$T$42,6,0)))</f>
        <v/>
      </c>
      <c r="F144" s="112" t="str">
        <f>IF(D144="On request","",IF(B144="","",E144*(VLOOKUP($B144,'Add-on Pricing'!$F$6:$T$42,15,0))))</f>
        <v/>
      </c>
      <c r="G144" s="112" t="str">
        <f>IF(D144="On request","",IF(B144="","",IF(VLOOKUP($B144,'Add-on Pricing'!$F$6:$T$42,7,0)="NA","",VLOOKUP($B144,'Add-on Pricing'!$F$6:$T$42,7,0))))</f>
        <v/>
      </c>
      <c r="H144" s="112" t="str">
        <f>IF(D144="On request","",IF(B144="","",IF(VLOOKUP($B144,'Add-on Pricing'!$F$6:$T$42,7,0)="NA","",VLOOKUP($B144,'Add-on Pricing'!$F$6:$T$42,10,0))))</f>
        <v/>
      </c>
      <c r="I144" s="112" t="str">
        <f>IF(D144="On request","",IF(E144="","",IF(VLOOKUP($B144,'Add-on Pricing'!$F$6:$T$42,7,0)="NA","",H144*(VLOOKUP($B144,'Add-on Pricing'!$F$6:$T$42,15,0)))))</f>
        <v/>
      </c>
      <c r="J144" s="112" t="str">
        <f>IF(D144="On request","",IF(B144="","",IF(VLOOKUP($B144,'Add-on Pricing'!$F$6:$T$42,11,0)="NA","",VLOOKUP($B144,'Add-on Pricing'!$F$6:$T$42,11,0))))</f>
        <v/>
      </c>
      <c r="K144" s="112" t="str">
        <f>IF(D144="On request","",IF(B144="","",IF(J144="","",VLOOKUP($B144,'Add-on Pricing'!$F$6:$T$42,14,0))))</f>
        <v/>
      </c>
      <c r="L144" s="112" t="str">
        <f>IF(D144="On request","",IF(H144="","",IF(K144="","",K144*(VLOOKUP($B144,'Add-on Pricing'!$F$6:$T$42,15,0)))))</f>
        <v/>
      </c>
    </row>
    <row r="145" spans="2:15" x14ac:dyDescent="0.2">
      <c r="B145" s="332" t="str">
        <f>IFERROR(INDEX('Add-on Pricing'!$F$6:$F$42,MATCH(ROW()-ROW($B$134),'Add-on Pricing'!E$6:E$42,0)),"")</f>
        <v/>
      </c>
      <c r="C145" s="332"/>
      <c r="D145" s="112" t="str">
        <f>IF(B145="","",IF(VLOOKUP(B145,'Add-on Pricing'!$F$6:$T$42,3,0)="NA","On request",VLOOKUP(B145,'Add-on Pricing'!$F$6:$T$42,3,0)))</f>
        <v/>
      </c>
      <c r="E145" s="112" t="str">
        <f>IF(D145="On request","",IF(B145="","",VLOOKUP($B145,'Add-on Pricing'!$F$6:$T$42,6,0)))</f>
        <v/>
      </c>
      <c r="F145" s="112" t="str">
        <f>IF(D145="On request","",IF(B145="","",E145*(VLOOKUP($B145,'Add-on Pricing'!$F$6:$T$42,15,0))))</f>
        <v/>
      </c>
      <c r="G145" s="112" t="str">
        <f>IF(D145="On request","",IF(B145="","",IF(VLOOKUP($B145,'Add-on Pricing'!$F$6:$T$42,7,0)="NA","",VLOOKUP($B145,'Add-on Pricing'!$F$6:$T$42,7,0))))</f>
        <v/>
      </c>
      <c r="H145" s="112" t="str">
        <f>IF(D145="On request","",IF(B145="","",IF(VLOOKUP($B145,'Add-on Pricing'!$F$6:$T$42,7,0)="NA","",VLOOKUP($B145,'Add-on Pricing'!$F$6:$T$42,10,0))))</f>
        <v/>
      </c>
      <c r="I145" s="112" t="str">
        <f>IF(D145="On request","",IF(E145="","",IF(VLOOKUP($B145,'Add-on Pricing'!$F$6:$T$42,7,0)="NA","",H145*(VLOOKUP($B145,'Add-on Pricing'!$F$6:$T$42,15,0)))))</f>
        <v/>
      </c>
      <c r="J145" s="112" t="str">
        <f>IF(D145="On request","",IF(B145="","",IF(VLOOKUP($B145,'Add-on Pricing'!$F$6:$T$42,11,0)="NA","",VLOOKUP($B145,'Add-on Pricing'!$F$6:$T$42,11,0))))</f>
        <v/>
      </c>
      <c r="K145" s="112" t="str">
        <f>IF(D145="On request","",IF(B145="","",IF(J145="","",VLOOKUP($B145,'Add-on Pricing'!$F$6:$T$42,14,0))))</f>
        <v/>
      </c>
      <c r="L145" s="112" t="str">
        <f>IF(D145="On request","",IF(H145="","",IF(K145="","",K145*(VLOOKUP($B145,'Add-on Pricing'!$F$6:$T$42,15,0)))))</f>
        <v/>
      </c>
    </row>
    <row r="146" spans="2:15" x14ac:dyDescent="0.2">
      <c r="B146" s="332" t="str">
        <f>IFERROR(INDEX('Add-on Pricing'!$F$6:$F$42,MATCH(ROW()-ROW($B$134),'Add-on Pricing'!E$6:E$42,0)),"")</f>
        <v/>
      </c>
      <c r="C146" s="332"/>
      <c r="D146" s="112" t="str">
        <f>IF(B146="","",IF(VLOOKUP(B146,'Add-on Pricing'!$F$6:$T$42,3,0)="NA","On request",VLOOKUP(B146,'Add-on Pricing'!$F$6:$T$42,3,0)))</f>
        <v/>
      </c>
      <c r="E146" s="112" t="str">
        <f>IF(D146="On request","",IF(B146="","",VLOOKUP($B146,'Add-on Pricing'!$F$6:$T$42,6,0)))</f>
        <v/>
      </c>
      <c r="F146" s="112" t="str">
        <f>IF(D146="On request","",IF(B146="","",E146*(VLOOKUP($B146,'Add-on Pricing'!$F$6:$T$42,15,0))))</f>
        <v/>
      </c>
      <c r="G146" s="112" t="str">
        <f>IF(D146="On request","",IF(B146="","",IF(VLOOKUP($B146,'Add-on Pricing'!$F$6:$T$42,7,0)="NA","",VLOOKUP($B146,'Add-on Pricing'!$F$6:$T$42,7,0))))</f>
        <v/>
      </c>
      <c r="H146" s="112" t="str">
        <f>IF(D146="On request","",IF(B146="","",IF(VLOOKUP($B146,'Add-on Pricing'!$F$6:$T$42,7,0)="NA","",VLOOKUP($B146,'Add-on Pricing'!$F$6:$T$42,10,0))))</f>
        <v/>
      </c>
      <c r="I146" s="112" t="str">
        <f>IF(D146="On request","",IF(E146="","",IF(VLOOKUP($B146,'Add-on Pricing'!$F$6:$T$42,7,0)="NA","",H146*(VLOOKUP($B146,'Add-on Pricing'!$F$6:$T$42,15,0)))))</f>
        <v/>
      </c>
      <c r="J146" s="112" t="str">
        <f>IF(D146="On request","",IF(B146="","",IF(VLOOKUP($B146,'Add-on Pricing'!$F$6:$T$42,11,0)="NA","",VLOOKUP($B146,'Add-on Pricing'!$F$6:$T$42,11,0))))</f>
        <v/>
      </c>
      <c r="K146" s="112" t="str">
        <f>IF(D146="On request","",IF(B146="","",IF(J146="","",VLOOKUP($B146,'Add-on Pricing'!$F$6:$T$42,14,0))))</f>
        <v/>
      </c>
      <c r="L146" s="112" t="str">
        <f>IF(D146="On request","",IF(H146="","",IF(K146="","",K146*(VLOOKUP($B146,'Add-on Pricing'!$F$6:$T$42,15,0)))))</f>
        <v/>
      </c>
    </row>
    <row r="147" spans="2:15" x14ac:dyDescent="0.2">
      <c r="B147" s="332" t="str">
        <f>IFERROR(INDEX('Add-on Pricing'!$F$6:$F$42,MATCH(ROW()-ROW($B$134),'Add-on Pricing'!E$6:E$42,0)),"")</f>
        <v/>
      </c>
      <c r="C147" s="332"/>
      <c r="D147" s="112" t="str">
        <f>IF(B147="","",IF(VLOOKUP(B147,'Add-on Pricing'!$F$6:$T$42,3,0)="NA","On request",VLOOKUP(B147,'Add-on Pricing'!$F$6:$T$42,3,0)))</f>
        <v/>
      </c>
      <c r="E147" s="112" t="str">
        <f>IF(D147="On request","",IF(B147="","",VLOOKUP($B147,'Add-on Pricing'!$F$6:$T$42,6,0)))</f>
        <v/>
      </c>
      <c r="F147" s="112" t="str">
        <f>IF(D147="On request","",IF(B147="","",E147*(VLOOKUP($B147,'Add-on Pricing'!$F$6:$T$42,15,0))))</f>
        <v/>
      </c>
      <c r="G147" s="112" t="str">
        <f>IF(D147="On request","",IF(B147="","",IF(VLOOKUP($B147,'Add-on Pricing'!$F$6:$T$42,7,0)="NA","",VLOOKUP($B147,'Add-on Pricing'!$F$6:$T$42,7,0))))</f>
        <v/>
      </c>
      <c r="H147" s="112" t="str">
        <f>IF(D147="On request","",IF(B147="","",IF(VLOOKUP($B147,'Add-on Pricing'!$F$6:$T$42,7,0)="NA","",VLOOKUP($B147,'Add-on Pricing'!$F$6:$T$42,10,0))))</f>
        <v/>
      </c>
      <c r="I147" s="112" t="str">
        <f>IF(D147="On request","",IF(E147="","",IF(VLOOKUP($B147,'Add-on Pricing'!$F$6:$T$42,7,0)="NA","",H147*(VLOOKUP($B147,'Add-on Pricing'!$F$6:$T$42,15,0)))))</f>
        <v/>
      </c>
      <c r="J147" s="112" t="str">
        <f>IF(D147="On request","",IF(B147="","",IF(VLOOKUP($B147,'Add-on Pricing'!$F$6:$T$42,11,0)="NA","",VLOOKUP($B147,'Add-on Pricing'!$F$6:$T$42,11,0))))</f>
        <v/>
      </c>
      <c r="K147" s="112" t="str">
        <f>IF(D147="On request","",IF(B147="","",IF(J147="","",VLOOKUP($B147,'Add-on Pricing'!$F$6:$T$42,14,0))))</f>
        <v/>
      </c>
      <c r="L147" s="112" t="str">
        <f>IF(D147="On request","",IF(H147="","",IF(K147="","",K147*(VLOOKUP($B147,'Add-on Pricing'!$F$6:$T$42,15,0)))))</f>
        <v/>
      </c>
    </row>
    <row r="148" spans="2:15" x14ac:dyDescent="0.2">
      <c r="B148" s="332" t="str">
        <f>IFERROR(INDEX('Add-on Pricing'!$F$6:$F$42,MATCH(ROW()-ROW($B$134),'Add-on Pricing'!E$6:E$42,0)),"")</f>
        <v/>
      </c>
      <c r="C148" s="332"/>
      <c r="D148" s="112" t="str">
        <f>IF(B148="","",IF(VLOOKUP(B148,'Add-on Pricing'!$F$6:$T$42,3,0)="NA","On request",VLOOKUP(B148,'Add-on Pricing'!$F$6:$T$42,3,0)))</f>
        <v/>
      </c>
      <c r="E148" s="112" t="str">
        <f>IF(D148="On request","",IF(B148="","",VLOOKUP($B148,'Add-on Pricing'!$F$6:$T$42,6,0)))</f>
        <v/>
      </c>
      <c r="F148" s="112" t="str">
        <f>IF(D148="On request","",IF(B148="","",E148*(VLOOKUP($B148,'Add-on Pricing'!$F$6:$T$42,15,0))))</f>
        <v/>
      </c>
      <c r="G148" s="112" t="str">
        <f>IF(D148="On request","",IF(B148="","",IF(VLOOKUP($B148,'Add-on Pricing'!$F$6:$T$42,7,0)="NA","",VLOOKUP($B148,'Add-on Pricing'!$F$6:$T$42,7,0))))</f>
        <v/>
      </c>
      <c r="H148" s="112" t="str">
        <f>IF(D148="On request","",IF(B148="","",IF(VLOOKUP($B148,'Add-on Pricing'!$F$6:$T$42,7,0)="NA","",VLOOKUP($B148,'Add-on Pricing'!$F$6:$T$42,10,0))))</f>
        <v/>
      </c>
      <c r="I148" s="112" t="str">
        <f>IF(D148="On request","",IF(E148="","",IF(VLOOKUP($B148,'Add-on Pricing'!$F$6:$T$42,7,0)="NA","",H148*(VLOOKUP($B148,'Add-on Pricing'!$F$6:$T$42,15,0)))))</f>
        <v/>
      </c>
      <c r="J148" s="112" t="str">
        <f>IF(D148="On request","",IF(B148="","",IF(VLOOKUP($B148,'Add-on Pricing'!$F$6:$T$42,11,0)="NA","",VLOOKUP($B148,'Add-on Pricing'!$F$6:$T$42,11,0))))</f>
        <v/>
      </c>
      <c r="K148" s="112" t="str">
        <f>IF(D148="On request","",IF(B148="","",IF(J148="","",VLOOKUP($B148,'Add-on Pricing'!$F$6:$T$42,14,0))))</f>
        <v/>
      </c>
      <c r="L148" s="112" t="str">
        <f>IF(D148="On request","",IF(H148="","",IF(K148="","",K148*(VLOOKUP($B148,'Add-on Pricing'!$F$6:$T$42,15,0)))))</f>
        <v/>
      </c>
    </row>
    <row r="149" spans="2:15" x14ac:dyDescent="0.2">
      <c r="B149" s="332" t="str">
        <f>IFERROR(INDEX('Add-on Pricing'!$F$6:$F$42,MATCH(ROW()-ROW($B$134),'Add-on Pricing'!E$6:E$42,0)),"")</f>
        <v/>
      </c>
      <c r="C149" s="332"/>
      <c r="D149" s="112" t="str">
        <f>IF(B149="","",IF(VLOOKUP(B149,'Add-on Pricing'!$F$6:$T$42,3,0)="NA","On request",VLOOKUP(B149,'Add-on Pricing'!$F$6:$T$42,3,0)))</f>
        <v/>
      </c>
      <c r="E149" s="112" t="str">
        <f>IF(D149="On request","",IF(B149="","",VLOOKUP($B149,'Add-on Pricing'!$F$6:$T$42,6,0)))</f>
        <v/>
      </c>
      <c r="F149" s="112" t="str">
        <f>IF(D149="On request","",IF(B149="","",E149*(VLOOKUP($B149,'Add-on Pricing'!$F$6:$T$42,15,0))))</f>
        <v/>
      </c>
      <c r="G149" s="112" t="str">
        <f>IF(D149="On request","",IF(B149="","",IF(VLOOKUP($B149,'Add-on Pricing'!$F$6:$T$42,7,0)="NA","",VLOOKUP($B149,'Add-on Pricing'!$F$6:$T$42,7,0))))</f>
        <v/>
      </c>
      <c r="H149" s="112" t="str">
        <f>IF(D149="On request","",IF(B149="","",IF(VLOOKUP($B149,'Add-on Pricing'!$F$6:$T$42,7,0)="NA","",VLOOKUP($B149,'Add-on Pricing'!$F$6:$T$42,10,0))))</f>
        <v/>
      </c>
      <c r="I149" s="112" t="str">
        <f>IF(D149="On request","",IF(E149="","",IF(VLOOKUP($B149,'Add-on Pricing'!$F$6:$T$42,7,0)="NA","",H149*(VLOOKUP($B149,'Add-on Pricing'!$F$6:$T$42,15,0)))))</f>
        <v/>
      </c>
      <c r="J149" s="112" t="str">
        <f>IF(D149="On request","",IF(B149="","",IF(VLOOKUP($B149,'Add-on Pricing'!$F$6:$T$42,11,0)="NA","",VLOOKUP($B149,'Add-on Pricing'!$F$6:$T$42,11,0))))</f>
        <v/>
      </c>
      <c r="K149" s="112" t="str">
        <f>IF(D149="On request","",IF(B149="","",IF(J149="","",VLOOKUP($B149,'Add-on Pricing'!$F$6:$T$42,14,0))))</f>
        <v/>
      </c>
      <c r="L149" s="112" t="str">
        <f>IF(D149="On request","",IF(H149="","",IF(K149="","",K149*(VLOOKUP($B149,'Add-on Pricing'!$F$6:$T$42,15,0)))))</f>
        <v/>
      </c>
    </row>
    <row r="150" spans="2:15" x14ac:dyDescent="0.2">
      <c r="B150" s="332" t="str">
        <f>IFERROR(INDEX('Add-on Pricing'!$F$6:$F$42,MATCH(ROW()-ROW($B$134),'Add-on Pricing'!E$6:E$42,0)),"")</f>
        <v/>
      </c>
      <c r="C150" s="332"/>
      <c r="D150" s="112" t="str">
        <f>IF(B150="","",IF(VLOOKUP(B150,'Add-on Pricing'!$F$6:$T$42,3,0)="NA","On request",VLOOKUP(B150,'Add-on Pricing'!$F$6:$T$42,3,0)))</f>
        <v/>
      </c>
      <c r="E150" s="112" t="str">
        <f>IF(D150="On request","",IF(B150="","",VLOOKUP($B150,'Add-on Pricing'!$F$6:$T$42,6,0)))</f>
        <v/>
      </c>
      <c r="F150" s="112" t="str">
        <f>IF(D150="On request","",IF(B150="","",E150*(VLOOKUP($B150,'Add-on Pricing'!$F$6:$T$42,15,0))))</f>
        <v/>
      </c>
      <c r="G150" s="112" t="str">
        <f>IF(D150="On request","",IF(B150="","",IF(VLOOKUP($B150,'Add-on Pricing'!$F$6:$T$42,7,0)="NA","",VLOOKUP($B150,'Add-on Pricing'!$F$6:$T$42,7,0))))</f>
        <v/>
      </c>
      <c r="H150" s="112" t="str">
        <f>IF(D150="On request","",IF(B150="","",IF(VLOOKUP($B150,'Add-on Pricing'!$F$6:$T$42,7,0)="NA","",VLOOKUP($B150,'Add-on Pricing'!$F$6:$T$42,10,0))))</f>
        <v/>
      </c>
      <c r="I150" s="112" t="str">
        <f>IF(D150="On request","",IF(E150="","",IF(VLOOKUP($B150,'Add-on Pricing'!$F$6:$T$42,7,0)="NA","",H150*(VLOOKUP($B150,'Add-on Pricing'!$F$6:$T$42,15,0)))))</f>
        <v/>
      </c>
      <c r="J150" s="112" t="str">
        <f>IF(D150="On request","",IF(B150="","",IF(VLOOKUP($B150,'Add-on Pricing'!$F$6:$T$42,11,0)="NA","",VLOOKUP($B150,'Add-on Pricing'!$F$6:$T$42,11,0))))</f>
        <v/>
      </c>
      <c r="K150" s="112" t="str">
        <f>IF(D150="On request","",IF(B150="","",IF(J150="","",VLOOKUP($B150,'Add-on Pricing'!$F$6:$T$42,14,0))))</f>
        <v/>
      </c>
      <c r="L150" s="112" t="str">
        <f>IF(D150="On request","",IF(H150="","",IF(K150="","",K150*(VLOOKUP($B150,'Add-on Pricing'!$F$6:$T$42,15,0)))))</f>
        <v/>
      </c>
    </row>
    <row r="151" spans="2:15" x14ac:dyDescent="0.2">
      <c r="B151" s="332" t="str">
        <f>IFERROR(INDEX('Add-on Pricing'!$F$6:$F$42,MATCH(ROW()-ROW($B$134),'Add-on Pricing'!E$6:E$42,0)),"")</f>
        <v/>
      </c>
      <c r="C151" s="332"/>
      <c r="D151" s="112" t="str">
        <f>IF(B151="","",IF(VLOOKUP(B151,'Add-on Pricing'!$F$6:$T$42,3,0)="NA","On request",VLOOKUP(B151,'Add-on Pricing'!$F$6:$T$42,3,0)))</f>
        <v/>
      </c>
      <c r="E151" s="112" t="str">
        <f>IF(D151="On request","",IF(B151="","",VLOOKUP($B151,'Add-on Pricing'!$F$6:$T$42,6,0)))</f>
        <v/>
      </c>
      <c r="F151" s="112" t="str">
        <f>IF(D151="On request","",IF(B151="","",E151*(VLOOKUP($B151,'Add-on Pricing'!$F$6:$T$42,15,0))))</f>
        <v/>
      </c>
      <c r="G151" s="112" t="str">
        <f>IF(D151="On request","",IF(B151="","",IF(VLOOKUP($B151,'Add-on Pricing'!$F$6:$T$42,7,0)="NA","",VLOOKUP($B151,'Add-on Pricing'!$F$6:$T$42,7,0))))</f>
        <v/>
      </c>
      <c r="H151" s="112" t="str">
        <f>IF(D151="On request","",IF(B151="","",IF(VLOOKUP($B151,'Add-on Pricing'!$F$6:$T$42,7,0)="NA","",VLOOKUP($B151,'Add-on Pricing'!$F$6:$T$42,10,0))))</f>
        <v/>
      </c>
      <c r="I151" s="112" t="str">
        <f>IF(D151="On request","",IF(E151="","",IF(VLOOKUP($B151,'Add-on Pricing'!$F$6:$T$42,7,0)="NA","",H151*(VLOOKUP($B151,'Add-on Pricing'!$F$6:$T$42,15,0)))))</f>
        <v/>
      </c>
      <c r="J151" s="112" t="str">
        <f>IF(D151="On request","",IF(B151="","",IF(VLOOKUP($B151,'Add-on Pricing'!$F$6:$T$42,11,0)="NA","",VLOOKUP($B151,'Add-on Pricing'!$F$6:$T$42,11,0))))</f>
        <v/>
      </c>
      <c r="K151" s="112" t="str">
        <f>IF(D151="On request","",IF(B151="","",IF(J151="","",VLOOKUP($B151,'Add-on Pricing'!$F$6:$T$42,14,0))))</f>
        <v/>
      </c>
      <c r="L151" s="112" t="str">
        <f>IF(D151="On request","",IF(H151="","",IF(K151="","",K151*(VLOOKUP($B151,'Add-on Pricing'!$F$6:$T$42,15,0)))))</f>
        <v/>
      </c>
    </row>
    <row r="152" spans="2:15" x14ac:dyDescent="0.2">
      <c r="B152" s="332" t="str">
        <f>IFERROR(INDEX('Add-on Pricing'!$F$6:$F$42,MATCH(ROW()-ROW($B$134),'Add-on Pricing'!E$6:E$42,0)),"")</f>
        <v/>
      </c>
      <c r="C152" s="332"/>
      <c r="D152" s="112" t="str">
        <f>IF(B152="","",IF(VLOOKUP(B152,'Add-on Pricing'!$F$6:$T$42,3,0)="NA","On request",VLOOKUP(B152,'Add-on Pricing'!$F$6:$T$42,3,0)))</f>
        <v/>
      </c>
      <c r="E152" s="112" t="str">
        <f>IF(D152="On request","",IF(B152="","",VLOOKUP($B152,'Add-on Pricing'!$F$6:$T$42,6,0)))</f>
        <v/>
      </c>
      <c r="F152" s="112" t="str">
        <f>IF(D152="On request","",IF(B152="","",E152*(VLOOKUP($B152,'Add-on Pricing'!$F$6:$T$42,15,0))))</f>
        <v/>
      </c>
      <c r="G152" s="112" t="str">
        <f>IF(D152="On request","",IF(B152="","",IF(VLOOKUP($B152,'Add-on Pricing'!$F$6:$T$42,7,0)="NA","",VLOOKUP($B152,'Add-on Pricing'!$F$6:$T$42,7,0))))</f>
        <v/>
      </c>
      <c r="H152" s="112" t="str">
        <f>IF(D152="On request","",IF(B152="","",IF(VLOOKUP($B152,'Add-on Pricing'!$F$6:$T$42,7,0)="NA","",VLOOKUP($B152,'Add-on Pricing'!$F$6:$T$42,10,0))))</f>
        <v/>
      </c>
      <c r="I152" s="112" t="str">
        <f>IF(D152="On request","",IF(E152="","",IF(VLOOKUP($B152,'Add-on Pricing'!$F$6:$T$42,7,0)="NA","",H152*(VLOOKUP($B152,'Add-on Pricing'!$F$6:$T$42,15,0)))))</f>
        <v/>
      </c>
      <c r="J152" s="112" t="str">
        <f>IF(D152="On request","",IF(B152="","",IF(VLOOKUP($B152,'Add-on Pricing'!$F$6:$T$42,11,0)="NA","",VLOOKUP($B152,'Add-on Pricing'!$F$6:$T$42,11,0))))</f>
        <v/>
      </c>
      <c r="K152" s="112" t="str">
        <f>IF(D152="On request","",IF(B152="","",IF(J152="","",VLOOKUP($B152,'Add-on Pricing'!$F$6:$T$42,14,0))))</f>
        <v/>
      </c>
      <c r="L152" s="112" t="str">
        <f>IF(D152="On request","",IF(H152="","",IF(K152="","",K152*(VLOOKUP($B152,'Add-on Pricing'!$F$6:$T$42,15,0)))))</f>
        <v/>
      </c>
    </row>
    <row r="153" spans="2:15" x14ac:dyDescent="0.2">
      <c r="B153" s="332" t="str">
        <f>IFERROR(INDEX('Add-on Pricing'!$F$6:$F$42,MATCH(ROW()-ROW($B$134),'Add-on Pricing'!E$6:E$42,0)),"")</f>
        <v/>
      </c>
      <c r="C153" s="332"/>
      <c r="D153" s="112" t="str">
        <f>IF(B153="","",IF(VLOOKUP(B153,'Add-on Pricing'!$F$6:$T$42,3,0)="NA","On request",VLOOKUP(B153,'Add-on Pricing'!$F$6:$T$42,3,0)))</f>
        <v/>
      </c>
      <c r="E153" s="112" t="str">
        <f>IF(D153="On request","",IF(B153="","",VLOOKUP($B153,'Add-on Pricing'!$F$6:$T$42,6,0)))</f>
        <v/>
      </c>
      <c r="F153" s="112" t="str">
        <f>IF(D153="On request","",IF(B153="","",E153*(VLOOKUP($B153,'Add-on Pricing'!$F$6:$T$42,15,0))))</f>
        <v/>
      </c>
      <c r="G153" s="112" t="str">
        <f>IF(D153="On request","",IF(B153="","",IF(VLOOKUP($B153,'Add-on Pricing'!$F$6:$T$42,7,0)="NA","",VLOOKUP($B153,'Add-on Pricing'!$F$6:$T$42,7,0))))</f>
        <v/>
      </c>
      <c r="H153" s="112" t="str">
        <f>IF(D153="On request","",IF(B153="","",IF(VLOOKUP($B153,'Add-on Pricing'!$F$6:$T$42,7,0)="NA","",VLOOKUP($B153,'Add-on Pricing'!$F$6:$T$42,10,0))))</f>
        <v/>
      </c>
      <c r="I153" s="112" t="str">
        <f>IF(D153="On request","",IF(E153="","",IF(VLOOKUP($B153,'Add-on Pricing'!$F$6:$T$42,7,0)="NA","",H153*(VLOOKUP($B153,'Add-on Pricing'!$F$6:$T$42,15,0)))))</f>
        <v/>
      </c>
      <c r="J153" s="112" t="str">
        <f>IF(D153="On request","",IF(B153="","",IF(VLOOKUP($B153,'Add-on Pricing'!$F$6:$T$42,11,0)="NA","",VLOOKUP($B153,'Add-on Pricing'!$F$6:$T$42,11,0))))</f>
        <v/>
      </c>
      <c r="K153" s="112" t="str">
        <f>IF(D153="On request","",IF(B153="","",IF(J153="","",VLOOKUP($B153,'Add-on Pricing'!$F$6:$T$42,14,0))))</f>
        <v/>
      </c>
      <c r="L153" s="112" t="str">
        <f>IF(D153="On request","",IF(H153="","",IF(K153="","",K153*(VLOOKUP($B153,'Add-on Pricing'!$F$6:$T$42,15,0)))))</f>
        <v/>
      </c>
    </row>
    <row r="154" spans="2:15" x14ac:dyDescent="0.2">
      <c r="B154" s="26"/>
      <c r="C154" s="9"/>
      <c r="D154" s="9"/>
      <c r="E154" s="9"/>
      <c r="F154" s="9"/>
      <c r="G154" s="9"/>
    </row>
    <row r="155" spans="2:15" ht="27" x14ac:dyDescent="0.35">
      <c r="B155" s="325" t="s">
        <v>125</v>
      </c>
      <c r="C155" s="325"/>
      <c r="D155" s="325"/>
      <c r="E155" s="325"/>
      <c r="F155" s="325"/>
      <c r="G155" s="325"/>
      <c r="H155" s="325"/>
      <c r="I155" s="325"/>
      <c r="J155" s="325"/>
      <c r="K155" s="325"/>
      <c r="L155" s="325"/>
      <c r="M155" s="325"/>
      <c r="N155" s="325"/>
      <c r="O155" s="325"/>
    </row>
    <row r="156" spans="2:15" x14ac:dyDescent="0.2">
      <c r="B156" s="9"/>
      <c r="C156" s="9"/>
      <c r="D156" s="9"/>
      <c r="E156" s="9"/>
      <c r="F156" s="9"/>
      <c r="G156" s="9"/>
    </row>
    <row r="157" spans="2:15" x14ac:dyDescent="0.2">
      <c r="B157" s="9"/>
      <c r="C157" s="9"/>
      <c r="D157" s="9"/>
      <c r="E157" s="9"/>
      <c r="F157" s="9"/>
      <c r="G157" s="9"/>
    </row>
    <row r="158" spans="2:15" x14ac:dyDescent="0.2">
      <c r="B158" s="9" t="s">
        <v>126</v>
      </c>
      <c r="C158" s="9"/>
      <c r="D158" s="9"/>
      <c r="E158" s="9"/>
      <c r="F158" s="9"/>
      <c r="G158" s="9"/>
    </row>
    <row r="159" spans="2:15" x14ac:dyDescent="0.2">
      <c r="B159" s="9"/>
      <c r="C159" s="9"/>
      <c r="D159" s="9"/>
      <c r="E159" s="9"/>
      <c r="F159" s="9"/>
      <c r="G159" s="9"/>
    </row>
    <row r="160" spans="2:15" x14ac:dyDescent="0.2">
      <c r="B160" s="9"/>
      <c r="C160" s="9"/>
      <c r="D160" s="9"/>
      <c r="E160" s="9"/>
      <c r="F160" s="9"/>
      <c r="G160" s="9"/>
    </row>
    <row r="161" spans="2:11" x14ac:dyDescent="0.2">
      <c r="B161" s="331" t="s">
        <v>127</v>
      </c>
      <c r="C161" s="331"/>
      <c r="D161" s="150" t="s">
        <v>128</v>
      </c>
      <c r="E161" s="106" t="s">
        <v>129</v>
      </c>
      <c r="F161" s="247" t="s">
        <v>130</v>
      </c>
      <c r="G161" s="109"/>
      <c r="H161" s="109"/>
      <c r="I161" s="109"/>
      <c r="J161" s="109"/>
    </row>
    <row r="162" spans="2:11" x14ac:dyDescent="0.2">
      <c r="B162" s="321" t="str">
        <f>IFERROR(INDEX('vSphere Pricing'!$C$7:$C$11,MATCH(ROW()-ROW($B$161),'vSphere Pricing'!$A$7:$A$11,0)),IFERROR(INDEX('Add-on Pricing'!$F$6:$F$42,MATCH(ROW()-ROW($B$161),'Add-on Pricing'!$D$6:$D$42,0)),""))</f>
        <v>VMware vSphere Standard (VVS)</v>
      </c>
      <c r="C162" s="321"/>
      <c r="D162" s="109">
        <f>IFERROR(VLOOKUP($B162,'vSphere Pricing'!$C$7:$Q$11,3,FALSE),IFERROR(VLOOKUP($B162,'Add-on Pricing'!$F$6:$T$42,15,FALSE),""))</f>
        <v>16</v>
      </c>
      <c r="E162" s="109" t="str">
        <f>IFERROR(VLOOKUP($B162,'vSphere Pricing'!$C$7:$Q$11,5,FALSE),IFERROR(VLOOKUP($B162,'Add-on Pricing'!$F$6:$T$42,4,FALSE),""))</f>
        <v>VCF-VSP-STD-8</v>
      </c>
      <c r="F162" s="9" t="str">
        <f>IFERROR(IF(VLOOKUP($B162,'vSphere Pricing'!$C$7:$Q$11,5,FALSE)=VLOOKUP($B162,'vSphere Pricing'!$C$7:$Q$11,9,FALSE),"",VLOOKUP($B162,'vSphere Pricing'!$C$7:$Q$11,9,FALSE)),"")</f>
        <v/>
      </c>
      <c r="G162" s="109"/>
      <c r="H162" s="109"/>
      <c r="I162" s="109"/>
      <c r="J162" s="109"/>
      <c r="K162" s="109"/>
    </row>
    <row r="163" spans="2:11" ht="15" customHeight="1" x14ac:dyDescent="0.2">
      <c r="B163" s="321" t="str">
        <f>IFERROR(INDEX('vSphere Pricing'!$C$7:$C$11,MATCH(ROW()-ROW($B$161),'vSphere Pricing'!$A$7:$A$11,0)),IFERROR(INDEX('Add-on Pricing'!$F$6:$F$42,MATCH(ROW()-ROW($B$161),'Add-on Pricing'!$D$6:$D$42,0)),""))</f>
        <v>VMware vSphere Enterprise (VVE)</v>
      </c>
      <c r="C163" s="321"/>
      <c r="D163" s="109">
        <f>IFERROR(VLOOKUP($B163,'vSphere Pricing'!$C$7:$Q$11,3,FALSE),IFERROR(VLOOKUP($B163,'Add-on Pricing'!$F$6:$T$42,15,FALSE),""))</f>
        <v>16</v>
      </c>
      <c r="E163" s="109" t="str">
        <f>IFERROR(VLOOKUP($B163,'vSphere Pricing'!$C$7:$Q$11,5,FALSE),IFERROR(VLOOKUP($B163,'Add-on Pricing'!$F$6:$T$42,4,FALSE),""))</f>
        <v>VCF-VSP-ENT-PLUS-1Y</v>
      </c>
      <c r="F163" s="9" t="str">
        <f>IFERROR(IF(VLOOKUP($B163,'vSphere Pricing'!$C$7:$Q$11,5,FALSE)=VLOOKUP($B163,'vSphere Pricing'!$C$7:$Q$11,9,FALSE),"",VLOOKUP($B163,'vSphere Pricing'!$C$7:$Q$11,9,FALSE)),"")</f>
        <v>VCF-VSP-ENT-PLUS</v>
      </c>
      <c r="G163" s="109"/>
      <c r="H163" s="109"/>
      <c r="I163" s="109"/>
      <c r="J163" s="109"/>
    </row>
    <row r="164" spans="2:11" ht="15" customHeight="1" x14ac:dyDescent="0.2">
      <c r="B164" s="321" t="str">
        <f>IFERROR(INDEX('vSphere Pricing'!$C$7:$C$11,MATCH(ROW()-ROW($B$161),'vSphere Pricing'!$A$7:$A$11,0)),IFERROR(INDEX('Add-on Pricing'!$F$6:$F$42,MATCH(ROW()-ROW($B$161),'Add-on Pricing'!$D$6:$D$42,0)),""))</f>
        <v>VMware vSphere Foundation (VVF)</v>
      </c>
      <c r="C164" s="321"/>
      <c r="D164" s="109">
        <f>IFERROR(VLOOKUP($B164,'vSphere Pricing'!$C$7:$Q$11,3,FALSE),IFERROR(VLOOKUP($B164,'Add-on Pricing'!$F$6:$T$42,15,FALSE),""))</f>
        <v>16</v>
      </c>
      <c r="E164" s="109" t="str">
        <f>IFERROR(VLOOKUP($B164,'vSphere Pricing'!$C$7:$Q$11,5,FALSE),IFERROR(VLOOKUP($B164,'Add-on Pricing'!$F$6:$T$42,4,FALSE),""))</f>
        <v>VCF-VSP-FND-1Y</v>
      </c>
      <c r="F164" s="9" t="str">
        <f>IFERROR(IF(VLOOKUP($B164,'vSphere Pricing'!$C$7:$Q$11,5,FALSE)=VLOOKUP($B164,'vSphere Pricing'!$C$7:$Q$11,9,FALSE),"",VLOOKUP($B164,'vSphere Pricing'!$C$7:$Q$11,9,FALSE)),"")</f>
        <v>VCF-VSP-FND-8</v>
      </c>
      <c r="G164" s="109"/>
      <c r="H164" s="109"/>
      <c r="I164" s="109"/>
      <c r="J164" s="109"/>
      <c r="K164" s="109"/>
    </row>
    <row r="165" spans="2:11" ht="15" customHeight="1" x14ac:dyDescent="0.2">
      <c r="B165" s="321" t="str">
        <f>IFERROR(INDEX('vSphere Pricing'!$C$7:$C$11,MATCH(ROW()-ROW($B$161),'vSphere Pricing'!$A$7:$A$11,0)),IFERROR(INDEX('Add-on Pricing'!$F$6:$F$42,MATCH(ROW()-ROW($B$161),'Add-on Pricing'!$D$6:$D$42,0)),""))</f>
        <v>VMware Cloud Foundation (VCF)</v>
      </c>
      <c r="C165" s="321"/>
      <c r="D165" s="109">
        <f>IFERROR(VLOOKUP($B165,'vSphere Pricing'!$C$7:$Q$11,3,FALSE),IFERROR(VLOOKUP($B165,'Add-on Pricing'!$F$6:$T$42,15,FALSE),""))</f>
        <v>16</v>
      </c>
      <c r="E165" s="109" t="str">
        <f>IFERROR(VLOOKUP($B165,'vSphere Pricing'!$C$7:$Q$11,5,FALSE),IFERROR(VLOOKUP($B165,'Add-on Pricing'!$F$6:$T$42,4,FALSE),""))</f>
        <v>VCF-CLD-FND-5</v>
      </c>
      <c r="F165" s="9" t="str">
        <f>IFERROR(IF(VLOOKUP($B165,'vSphere Pricing'!$C$7:$Q$11,5,FALSE)=VLOOKUP($B165,'vSphere Pricing'!$C$7:$Q$11,9,FALSE),"",VLOOKUP($B165,'vSphere Pricing'!$C$7:$Q$11,9,FALSE)),"")</f>
        <v/>
      </c>
      <c r="G165" s="109"/>
      <c r="H165" s="109"/>
      <c r="I165" s="109"/>
      <c r="J165" s="109"/>
      <c r="K165" s="109"/>
    </row>
    <row r="166" spans="2:11" x14ac:dyDescent="0.2">
      <c r="B166" s="321" t="str">
        <f>IFERROR(INDEX('vSphere Pricing'!$C$7:$C$11,MATCH(ROW()-ROW($B$161),'vSphere Pricing'!$A$7:$A$11,0)),IFERROR(INDEX('Add-on Pricing'!$F$6:$F$42,MATCH(ROW()-ROW($B$161),'Add-on Pricing'!$D$6:$D$42,0)),""))</f>
        <v/>
      </c>
      <c r="C166" s="321"/>
      <c r="D166" s="109" t="str">
        <f>IFERROR(VLOOKUP($B166,'vSphere Pricing'!$C$7:$Q$11,3,FALSE),IFERROR(VLOOKUP($B166,'Add-on Pricing'!$F$6:$T$42,15,FALSE),""))</f>
        <v/>
      </c>
      <c r="E166" s="109" t="str">
        <f>IFERROR(VLOOKUP($B166,'vSphere Pricing'!$C$7:$Q$11,5,FALSE),IFERROR(VLOOKUP($B166,'Add-on Pricing'!$F$6:$T$42,4,FALSE),""))</f>
        <v/>
      </c>
      <c r="F166" s="9" t="str">
        <f>IFERROR(IF(VLOOKUP($B166,'vSphere Pricing'!$C$7:$Q$11,5,FALSE)=VLOOKUP($B166,'vSphere Pricing'!$C$7:$Q$11,9,FALSE),"",VLOOKUP($B166,'vSphere Pricing'!$C$7:$Q$11,9,FALSE)),"")</f>
        <v/>
      </c>
      <c r="G166" s="109"/>
      <c r="H166" s="109"/>
      <c r="I166" s="109"/>
      <c r="J166" s="109"/>
      <c r="K166" s="109"/>
    </row>
    <row r="167" spans="2:11" x14ac:dyDescent="0.2">
      <c r="B167" s="321" t="str">
        <f>IFERROR(INDEX('vSphere Pricing'!$C$7:$C$11,MATCH(ROW()-ROW($B$161),'vSphere Pricing'!$A$7:$A$11,0)),IFERROR(INDEX('Add-on Pricing'!$F$6:$F$42,MATCH(ROW()-ROW($B$161),'Add-on Pricing'!$D$6:$D$42,0)),""))</f>
        <v/>
      </c>
      <c r="C167" s="321"/>
      <c r="D167" s="109" t="str">
        <f>IFERROR(VLOOKUP($B167,'vSphere Pricing'!$C$7:$Q$11,3,FALSE),IFERROR(VLOOKUP($B167,'Add-on Pricing'!$F$6:$T$42,15,FALSE),""))</f>
        <v/>
      </c>
      <c r="E167" s="109" t="str">
        <f>IFERROR(VLOOKUP($B167,'vSphere Pricing'!$C$7:$Q$11,5,FALSE),IFERROR(VLOOKUP($B167,'Add-on Pricing'!$F$6:$T$42,4,FALSE),""))</f>
        <v/>
      </c>
      <c r="F167" s="9" t="str">
        <f>IFERROR(IF(VLOOKUP($B167,'vSphere Pricing'!$C$7:$Q$11,5,FALSE)=VLOOKUP($B167,'vSphere Pricing'!$C$7:$Q$11,9,FALSE),"",VLOOKUP($B167,'vSphere Pricing'!$C$7:$Q$11,9,FALSE)),"")</f>
        <v/>
      </c>
      <c r="G167" s="109"/>
      <c r="H167" s="109"/>
      <c r="I167" s="109"/>
      <c r="J167" s="109"/>
      <c r="K167" s="109"/>
    </row>
    <row r="168" spans="2:11" x14ac:dyDescent="0.2">
      <c r="B168" s="321" t="str">
        <f>IFERROR(INDEX('vSphere Pricing'!$C$7:$C$11,MATCH(ROW()-ROW($B$161),'vSphere Pricing'!$A$7:$A$11,0)),IFERROR(INDEX('Add-on Pricing'!$F$6:$F$42,MATCH(ROW()-ROW($B$161),'Add-on Pricing'!$D$6:$D$42,0)),""))</f>
        <v/>
      </c>
      <c r="C168" s="321"/>
      <c r="D168" s="109" t="str">
        <f>IFERROR(VLOOKUP($B168,'vSphere Pricing'!$C$7:$Q$11,3,FALSE),IFERROR(VLOOKUP($B168,'Add-on Pricing'!$F$6:$T$42,15,FALSE),""))</f>
        <v/>
      </c>
      <c r="E168" s="109" t="str">
        <f>IFERROR(VLOOKUP($B168,'vSphere Pricing'!$C$7:$Q$11,5,FALSE),IFERROR(VLOOKUP($B168,'Add-on Pricing'!$F$6:$T$42,4,FALSE),""))</f>
        <v/>
      </c>
      <c r="F168" s="9" t="str">
        <f>IFERROR(IF(VLOOKUP($B168,'vSphere Pricing'!$C$7:$Q$11,5,FALSE)=VLOOKUP($B168,'vSphere Pricing'!$C$7:$Q$11,9,FALSE),"",VLOOKUP($B168,'vSphere Pricing'!$C$7:$Q$11,9,FALSE)),"")</f>
        <v/>
      </c>
      <c r="G168" s="109"/>
      <c r="H168" s="109"/>
      <c r="I168" s="109"/>
      <c r="J168" s="109"/>
      <c r="K168" s="109"/>
    </row>
    <row r="169" spans="2:11" x14ac:dyDescent="0.2">
      <c r="B169" s="321" t="str">
        <f>IFERROR(INDEX('vSphere Pricing'!$C$7:$C$11,MATCH(ROW()-ROW($B$161),'vSphere Pricing'!$A$7:$A$11,0)),IFERROR(INDEX('Add-on Pricing'!$F$6:$F$42,MATCH(ROW()-ROW($B$161),'Add-on Pricing'!$D$6:$D$42,0)),""))</f>
        <v/>
      </c>
      <c r="C169" s="321"/>
      <c r="D169" s="109" t="str">
        <f>IFERROR(VLOOKUP($B169,'vSphere Pricing'!$C$7:$Q$11,3,FALSE),IFERROR(VLOOKUP($B169,'Add-on Pricing'!$F$6:$T$42,15,FALSE),""))</f>
        <v/>
      </c>
      <c r="E169" s="109" t="str">
        <f>IFERROR(VLOOKUP($B169,'vSphere Pricing'!$C$7:$Q$11,5,FALSE),IFERROR(VLOOKUP($B169,'Add-on Pricing'!$F$6:$T$42,4,FALSE),""))</f>
        <v/>
      </c>
      <c r="F169" s="9" t="str">
        <f>IFERROR(IF(VLOOKUP($B169,'vSphere Pricing'!$C$7:$Q$11,5,FALSE)=VLOOKUP($B169,'vSphere Pricing'!$C$7:$Q$11,9,FALSE),"",VLOOKUP($B169,'vSphere Pricing'!$C$7:$Q$11,9,FALSE)),"")</f>
        <v/>
      </c>
      <c r="G169" s="109"/>
      <c r="H169" s="109"/>
      <c r="I169" s="109"/>
      <c r="J169" s="109"/>
      <c r="K169" s="109"/>
    </row>
    <row r="170" spans="2:11" x14ac:dyDescent="0.2">
      <c r="B170" s="321" t="str">
        <f>IFERROR(INDEX('vSphere Pricing'!$C$7:$C$11,MATCH(ROW()-ROW($B$161),'vSphere Pricing'!$A$7:$A$11,0)),IFERROR(INDEX('Add-on Pricing'!$F$6:$F$42,MATCH(ROW()-ROW($B$161),'Add-on Pricing'!$D$6:$D$42,0)),""))</f>
        <v/>
      </c>
      <c r="C170" s="321"/>
      <c r="D170" s="109" t="str">
        <f>IFERROR(VLOOKUP($B170,'vSphere Pricing'!$C$7:$Q$11,3,FALSE),IFERROR(VLOOKUP($B170,'Add-on Pricing'!$F$6:$T$42,15,FALSE),""))</f>
        <v/>
      </c>
      <c r="E170" s="109" t="str">
        <f>IFERROR(VLOOKUP($B170,'vSphere Pricing'!$C$7:$Q$11,5,FALSE),IFERROR(VLOOKUP($B170,'Add-on Pricing'!$F$6:$T$42,4,FALSE),""))</f>
        <v/>
      </c>
      <c r="F170" s="9" t="str">
        <f>IFERROR(IF(VLOOKUP($B170,'vSphere Pricing'!$C$7:$Q$11,5,FALSE)=VLOOKUP($B170,'vSphere Pricing'!$C$7:$Q$11,9,FALSE),"",VLOOKUP($B170,'vSphere Pricing'!$C$7:$Q$11,9,FALSE)),"")</f>
        <v/>
      </c>
      <c r="G170" s="109"/>
      <c r="H170" s="109"/>
      <c r="I170" s="109"/>
      <c r="J170" s="109"/>
      <c r="K170" s="109"/>
    </row>
    <row r="171" spans="2:11" x14ac:dyDescent="0.2">
      <c r="B171" s="321" t="str">
        <f>IFERROR(INDEX('vSphere Pricing'!$C$7:$C$11,MATCH(ROW()-ROW($B$161),'vSphere Pricing'!$A$7:$A$11,0)),IFERROR(INDEX('Add-on Pricing'!$F$6:$F$42,MATCH(ROW()-ROW($B$161),'Add-on Pricing'!$D$6:$D$42,0)),""))</f>
        <v/>
      </c>
      <c r="C171" s="321"/>
      <c r="D171" s="109" t="str">
        <f>IFERROR(VLOOKUP($B171,'vSphere Pricing'!$C$7:$Q$11,3,FALSE),IFERROR(VLOOKUP($B171,'Add-on Pricing'!$F$6:$T$42,15,FALSE),""))</f>
        <v/>
      </c>
      <c r="E171" s="109" t="str">
        <f>IFERROR(VLOOKUP($B171,'vSphere Pricing'!$C$7:$Q$11,5,FALSE),IFERROR(VLOOKUP($B171,'Add-on Pricing'!$F$6:$T$42,4,FALSE),""))</f>
        <v/>
      </c>
      <c r="F171" s="9" t="str">
        <f>IFERROR(IF(VLOOKUP($B171,'vSphere Pricing'!$C$7:$Q$11,5,FALSE)=VLOOKUP($B171,'vSphere Pricing'!$C$7:$Q$11,9,FALSE),"",VLOOKUP($B171,'vSphere Pricing'!$C$7:$Q$11,9,FALSE)),"")</f>
        <v/>
      </c>
      <c r="G171" s="109"/>
      <c r="H171" s="109"/>
      <c r="I171" s="109"/>
      <c r="J171" s="109"/>
      <c r="K171" s="109"/>
    </row>
    <row r="172" spans="2:11" x14ac:dyDescent="0.2">
      <c r="B172" s="321" t="str">
        <f>IFERROR(INDEX('vSphere Pricing'!$C$7:$C$11,MATCH(ROW()-ROW($B$161),'vSphere Pricing'!$A$7:$A$11,0)),IFERROR(INDEX('Add-on Pricing'!$F$6:$F$42,MATCH(ROW()-ROW($B$161),'Add-on Pricing'!$D$6:$D$42,0)),""))</f>
        <v/>
      </c>
      <c r="C172" s="321"/>
      <c r="D172" s="109" t="str">
        <f>IFERROR(VLOOKUP($B172,'vSphere Pricing'!$C$7:$Q$11,3,FALSE),IFERROR(VLOOKUP($B172,'Add-on Pricing'!$F$6:$T$42,15,FALSE),""))</f>
        <v/>
      </c>
      <c r="E172" s="109" t="str">
        <f>IFERROR(VLOOKUP($B172,'vSphere Pricing'!$C$7:$Q$11,5,FALSE),IFERROR(VLOOKUP($B172,'Add-on Pricing'!$F$6:$T$42,4,FALSE),""))</f>
        <v/>
      </c>
      <c r="F172" s="9" t="str">
        <f>IFERROR(IF(VLOOKUP($B172,'vSphere Pricing'!$C$7:$Q$11,5,FALSE)=VLOOKUP($B172,'vSphere Pricing'!$C$7:$Q$11,9,FALSE),"",VLOOKUP($B172,'vSphere Pricing'!$C$7:$Q$11,9,FALSE)),"")</f>
        <v/>
      </c>
      <c r="G172" s="109"/>
      <c r="H172" s="109"/>
      <c r="I172" s="109"/>
      <c r="J172" s="109"/>
      <c r="K172" s="109"/>
    </row>
    <row r="173" spans="2:11" x14ac:dyDescent="0.2">
      <c r="B173" s="321" t="str">
        <f>IFERROR(INDEX('vSphere Pricing'!$C$7:$C$11,MATCH(ROW()-ROW($B$161),'vSphere Pricing'!$A$7:$A$11,0)),IFERROR(INDEX('Add-on Pricing'!$F$6:$F$42,MATCH(ROW()-ROW($B$161),'Add-on Pricing'!$D$6:$D$42,0)),""))</f>
        <v/>
      </c>
      <c r="C173" s="321"/>
      <c r="D173" s="109" t="str">
        <f>IFERROR(VLOOKUP($B173,'vSphere Pricing'!$C$7:$Q$11,3,FALSE),IFERROR(VLOOKUP($B173,'Add-on Pricing'!$F$6:$T$42,15,FALSE),""))</f>
        <v/>
      </c>
      <c r="E173" s="109" t="str">
        <f>IFERROR(VLOOKUP($B173,'vSphere Pricing'!$C$7:$Q$11,5,FALSE),IFERROR(VLOOKUP($B173,'Add-on Pricing'!$F$6:$T$42,4,FALSE),""))</f>
        <v/>
      </c>
      <c r="F173" s="9" t="str">
        <f>IFERROR(IF(VLOOKUP($B173,'vSphere Pricing'!$C$7:$Q$11,5,FALSE)=VLOOKUP($B173,'vSphere Pricing'!$C$7:$Q$11,9,FALSE),"",VLOOKUP($B173,'vSphere Pricing'!$C$7:$Q$11,9,FALSE)),"")</f>
        <v/>
      </c>
      <c r="G173" s="109"/>
      <c r="H173" s="109"/>
      <c r="I173" s="109"/>
      <c r="J173" s="109"/>
      <c r="K173" s="109"/>
    </row>
    <row r="174" spans="2:11" x14ac:dyDescent="0.2">
      <c r="B174" s="321" t="str">
        <f>IFERROR(INDEX('vSphere Pricing'!$C$7:$C$11,MATCH(ROW()-ROW($B$161),'vSphere Pricing'!$A$7:$A$11,0)),IFERROR(INDEX('Add-on Pricing'!$F$6:$F$42,MATCH(ROW()-ROW($B$161),'Add-on Pricing'!$D$6:$D$42,0)),""))</f>
        <v/>
      </c>
      <c r="C174" s="321"/>
      <c r="D174" s="109" t="str">
        <f>IFERROR(VLOOKUP($B174,'vSphere Pricing'!$C$7:$Q$11,3,FALSE),IFERROR(VLOOKUP($B174,'Add-on Pricing'!$F$6:$T$42,15,FALSE),""))</f>
        <v/>
      </c>
      <c r="E174" s="109" t="str">
        <f>IFERROR(VLOOKUP($B174,'vSphere Pricing'!$C$7:$Q$11,5,FALSE),IFERROR(VLOOKUP($B174,'Add-on Pricing'!$F$6:$T$42,4,FALSE),""))</f>
        <v/>
      </c>
      <c r="F174" s="9" t="str">
        <f>IFERROR(IF(VLOOKUP($B174,'vSphere Pricing'!$C$7:$Q$11,5,FALSE)=VLOOKUP($B174,'vSphere Pricing'!$C$7:$Q$11,9,FALSE),"",VLOOKUP($B174,'vSphere Pricing'!$C$7:$Q$11,9,FALSE)),"")</f>
        <v/>
      </c>
      <c r="G174" s="109"/>
      <c r="H174" s="109"/>
      <c r="I174" s="109"/>
      <c r="J174" s="109"/>
      <c r="K174" s="109"/>
    </row>
    <row r="175" spans="2:11" x14ac:dyDescent="0.2">
      <c r="B175" s="321" t="str">
        <f>IFERROR(INDEX('vSphere Pricing'!$C$7:$C$11,MATCH(ROW()-ROW($B$161),'vSphere Pricing'!$A$7:$A$11,0)),IFERROR(INDEX('Add-on Pricing'!$F$6:$F$42,MATCH(ROW()-ROW($B$161),'Add-on Pricing'!$D$6:$D$42,0)),""))</f>
        <v/>
      </c>
      <c r="C175" s="321"/>
      <c r="D175" s="109" t="str">
        <f>IFERROR(VLOOKUP($B175,'vSphere Pricing'!$C$7:$Q$11,3,FALSE),IFERROR(VLOOKUP($B175,'Add-on Pricing'!$F$6:$T$42,15,FALSE),""))</f>
        <v/>
      </c>
      <c r="E175" s="109" t="str">
        <f>IFERROR(VLOOKUP($B175,'vSphere Pricing'!$C$7:$Q$11,5,FALSE),IFERROR(VLOOKUP($B175,'Add-on Pricing'!$F$6:$T$42,4,FALSE),""))</f>
        <v/>
      </c>
      <c r="F175" s="9" t="str">
        <f>IFERROR(IF(VLOOKUP($B175,'vSphere Pricing'!$C$7:$Q$11,5,FALSE)=VLOOKUP($B175,'vSphere Pricing'!$C$7:$Q$11,9,FALSE),"",VLOOKUP($B175,'vSphere Pricing'!$C$7:$Q$11,9,FALSE)),"")</f>
        <v/>
      </c>
      <c r="G175" s="109"/>
      <c r="H175" s="109"/>
      <c r="I175" s="109"/>
      <c r="J175" s="109"/>
      <c r="K175" s="109"/>
    </row>
    <row r="176" spans="2:11" x14ac:dyDescent="0.2">
      <c r="B176" s="321" t="str">
        <f>IFERROR(INDEX('vSphere Pricing'!$C$7:$C$11,MATCH(ROW()-ROW($B$161),'vSphere Pricing'!$A$7:$A$11,0)),IFERROR(INDEX('Add-on Pricing'!$F$6:$F$42,MATCH(ROW()-ROW($B$161),'Add-on Pricing'!$D$6:$D$42,0)),""))</f>
        <v/>
      </c>
      <c r="C176" s="321"/>
      <c r="D176" s="109" t="str">
        <f>IFERROR(VLOOKUP($B176,'vSphere Pricing'!$C$7:$Q$11,3,FALSE),IFERROR(VLOOKUP($B176,'Add-on Pricing'!$F$6:$T$42,15,FALSE),""))</f>
        <v/>
      </c>
      <c r="E176" s="109" t="str">
        <f>IFERROR(VLOOKUP($B176,'vSphere Pricing'!$C$7:$Q$11,5,FALSE),IFERROR(VLOOKUP($B176,'Add-on Pricing'!$F$6:$T$42,4,FALSE),""))</f>
        <v/>
      </c>
      <c r="F176" s="9" t="str">
        <f>IFERROR(IF(VLOOKUP($B176,'vSphere Pricing'!$C$7:$Q$11,5,FALSE)=VLOOKUP($B176,'vSphere Pricing'!$C$7:$Q$11,9,FALSE),"",VLOOKUP($B176,'vSphere Pricing'!$C$7:$Q$11,9,FALSE)),"")</f>
        <v/>
      </c>
      <c r="G176" s="109"/>
      <c r="H176" s="109"/>
      <c r="I176" s="109"/>
      <c r="J176" s="109"/>
      <c r="K176" s="109"/>
    </row>
    <row r="177" spans="2:11" x14ac:dyDescent="0.2">
      <c r="B177" s="321" t="str">
        <f>IFERROR(INDEX('vSphere Pricing'!$C$7:$C$11,MATCH(ROW()-ROW($B$161),'vSphere Pricing'!$A$7:$A$11,0)),IFERROR(INDEX('Add-on Pricing'!$F$6:$F$42,MATCH(ROW()-ROW($B$161),'Add-on Pricing'!$D$6:$D$42,0)),""))</f>
        <v/>
      </c>
      <c r="C177" s="321"/>
      <c r="D177" s="109" t="str">
        <f>IFERROR(VLOOKUP($B177,'vSphere Pricing'!$C$7:$Q$11,3,FALSE),IFERROR(VLOOKUP($B177,'Add-on Pricing'!$F$6:$T$42,15,FALSE),""))</f>
        <v/>
      </c>
      <c r="E177" s="109" t="str">
        <f>IFERROR(VLOOKUP($B177,'vSphere Pricing'!$C$7:$Q$11,5,FALSE),IFERROR(VLOOKUP($B177,'Add-on Pricing'!$F$6:$T$42,4,FALSE),""))</f>
        <v/>
      </c>
      <c r="F177" s="9" t="str">
        <f>IFERROR(IF(VLOOKUP($B177,'vSphere Pricing'!$C$7:$Q$11,5,FALSE)=VLOOKUP($B177,'vSphere Pricing'!$C$7:$Q$11,9,FALSE),"",VLOOKUP($B177,'vSphere Pricing'!$C$7:$Q$11,9,FALSE)),"")</f>
        <v/>
      </c>
      <c r="G177" s="109"/>
      <c r="H177" s="109"/>
      <c r="I177" s="109"/>
      <c r="J177" s="109"/>
      <c r="K177" s="109"/>
    </row>
    <row r="178" spans="2:11" x14ac:dyDescent="0.2">
      <c r="B178" s="321" t="str">
        <f>IFERROR(INDEX('vSphere Pricing'!$C$7:$C$11,MATCH(ROW()-ROW($B$161),'vSphere Pricing'!$A$7:$A$11,0)),IFERROR(INDEX('Add-on Pricing'!$F$6:$F$42,MATCH(ROW()-ROW($B$161),'Add-on Pricing'!$D$6:$D$42,0)),""))</f>
        <v/>
      </c>
      <c r="C178" s="321"/>
      <c r="D178" s="109" t="str">
        <f>IFERROR(VLOOKUP($B178,'vSphere Pricing'!$C$7:$Q$11,3,FALSE),IFERROR(VLOOKUP($B178,'Add-on Pricing'!$F$6:$T$42,15,FALSE),""))</f>
        <v/>
      </c>
      <c r="E178" s="109" t="str">
        <f>IFERROR(VLOOKUP($B178,'vSphere Pricing'!$C$7:$Q$11,5,FALSE),IFERROR(VLOOKUP($B178,'Add-on Pricing'!$F$6:$T$42,4,FALSE),""))</f>
        <v/>
      </c>
      <c r="F178" s="9" t="str">
        <f>IFERROR(IF(VLOOKUP($B178,'vSphere Pricing'!$C$7:$Q$11,5,FALSE)=VLOOKUP($B178,'vSphere Pricing'!$C$7:$Q$11,9,FALSE),"",VLOOKUP($B178,'vSphere Pricing'!$C$7:$Q$11,9,FALSE)),"")</f>
        <v/>
      </c>
      <c r="G178" s="109"/>
      <c r="H178" s="109"/>
      <c r="I178" s="109"/>
      <c r="J178" s="109"/>
      <c r="K178" s="109"/>
    </row>
    <row r="179" spans="2:11" x14ac:dyDescent="0.2">
      <c r="B179" s="321" t="str">
        <f>IFERROR(INDEX('vSphere Pricing'!$C$7:$C$11,MATCH(ROW()-ROW($B$161),'vSphere Pricing'!$A$7:$A$11,0)),IFERROR(INDEX('Add-on Pricing'!$F$6:$F$42,MATCH(ROW()-ROW($B$161),'Add-on Pricing'!$D$6:$D$42,0)),""))</f>
        <v/>
      </c>
      <c r="C179" s="321"/>
      <c r="D179" s="109" t="str">
        <f>IFERROR(VLOOKUP($B179,'vSphere Pricing'!$C$7:$Q$11,3,FALSE),IFERROR(VLOOKUP($B179,'Add-on Pricing'!$F$6:$T$42,15,FALSE),""))</f>
        <v/>
      </c>
      <c r="E179" s="109" t="str">
        <f>IFERROR(VLOOKUP($B179,'vSphere Pricing'!$C$7:$Q$11,5,FALSE),IFERROR(VLOOKUP($B179,'Add-on Pricing'!$F$6:$T$42,4,FALSE),""))</f>
        <v/>
      </c>
      <c r="F179" s="9" t="str">
        <f>IFERROR(IF(VLOOKUP($B179,'vSphere Pricing'!$C$7:$Q$11,5,FALSE)=VLOOKUP($B179,'vSphere Pricing'!$C$7:$Q$11,9,FALSE),"",VLOOKUP($B179,'vSphere Pricing'!$C$7:$Q$11,9,FALSE)),"")</f>
        <v/>
      </c>
      <c r="G179" s="109"/>
      <c r="H179" s="109"/>
      <c r="I179" s="109"/>
      <c r="J179" s="109"/>
      <c r="K179" s="109"/>
    </row>
    <row r="180" spans="2:11" x14ac:dyDescent="0.2">
      <c r="B180" s="321" t="str">
        <f>IFERROR(INDEX('vSphere Pricing'!$C$7:$C$11,MATCH(ROW()-ROW($B$161),'vSphere Pricing'!$A$7:$A$11,0)),IFERROR(INDEX('Add-on Pricing'!$F$6:$F$42,MATCH(ROW()-ROW($B$161),'Add-on Pricing'!$D$6:$D$42,0)),""))</f>
        <v/>
      </c>
      <c r="C180" s="321"/>
      <c r="D180" s="109" t="str">
        <f>IFERROR(VLOOKUP($B180,'vSphere Pricing'!$C$7:$Q$11,3,FALSE),IFERROR(VLOOKUP($B180,'Add-on Pricing'!$F$6:$T$42,15,FALSE),""))</f>
        <v/>
      </c>
      <c r="E180" s="109" t="str">
        <f>IFERROR(VLOOKUP($B180,'vSphere Pricing'!$C$7:$Q$11,5,FALSE),IFERROR(VLOOKUP($B180,'Add-on Pricing'!$F$6:$T$42,4,FALSE),""))</f>
        <v/>
      </c>
      <c r="F180" s="9" t="str">
        <f>IFERROR(IF(VLOOKUP($B180,'vSphere Pricing'!$C$7:$Q$11,5,FALSE)=VLOOKUP($B180,'vSphere Pricing'!$C$7:$Q$11,9,FALSE),"",VLOOKUP($B180,'vSphere Pricing'!$C$7:$Q$11,9,FALSE)),"")</f>
        <v/>
      </c>
      <c r="G180" s="109"/>
      <c r="H180" s="109"/>
      <c r="I180" s="109"/>
      <c r="J180" s="109"/>
      <c r="K180" s="109"/>
    </row>
    <row r="181" spans="2:11" x14ac:dyDescent="0.2">
      <c r="B181" s="321" t="str">
        <f>IFERROR(INDEX('vSphere Pricing'!$C$7:$C$11,MATCH(ROW()-ROW($B$161),'vSphere Pricing'!$A$7:$A$11,0)),IFERROR(INDEX('Add-on Pricing'!$F$6:$F$42,MATCH(ROW()-ROW($B$161),'Add-on Pricing'!$D$6:$D$42,0)),""))</f>
        <v/>
      </c>
      <c r="C181" s="321"/>
      <c r="D181" s="109" t="str">
        <f>IFERROR(VLOOKUP($B181,'vSphere Pricing'!$C$7:$Q$11,3,FALSE),IFERROR(VLOOKUP($B181,'Add-on Pricing'!$F$6:$T$42,15,FALSE),""))</f>
        <v/>
      </c>
      <c r="E181" s="109" t="str">
        <f>IFERROR(VLOOKUP($B181,'vSphere Pricing'!$C$7:$Q$11,5,FALSE),IFERROR(VLOOKUP($B181,'Add-on Pricing'!$F$6:$T$42,4,FALSE),""))</f>
        <v/>
      </c>
      <c r="F181" s="9" t="str">
        <f>IFERROR(IF(VLOOKUP($B181,'vSphere Pricing'!$C$7:$Q$11,5,FALSE)=VLOOKUP($B181,'vSphere Pricing'!$C$7:$Q$11,9,FALSE),"",VLOOKUP($B181,'vSphere Pricing'!$C$7:$Q$11,9,FALSE)),"")</f>
        <v/>
      </c>
      <c r="G181" s="109"/>
      <c r="H181" s="109"/>
      <c r="I181" s="109"/>
      <c r="J181" s="109"/>
      <c r="K181" s="109"/>
    </row>
    <row r="182" spans="2:11" x14ac:dyDescent="0.2">
      <c r="B182" s="321" t="str">
        <f>IFERROR(INDEX('vSphere Pricing'!$C$7:$C$11,MATCH(ROW()-ROW($B$161),'vSphere Pricing'!$A$7:$A$11,0)),IFERROR(INDEX('Add-on Pricing'!$F$6:$F$42,MATCH(ROW()-ROW($B$161),'Add-on Pricing'!$D$6:$D$42,0)),""))</f>
        <v/>
      </c>
      <c r="C182" s="321"/>
      <c r="D182" s="109" t="str">
        <f>IFERROR(VLOOKUP($B182,'vSphere Pricing'!$C$7:$Q$11,3,FALSE),IFERROR(VLOOKUP($B182,'Add-on Pricing'!$F$6:$T$42,15,FALSE),""))</f>
        <v/>
      </c>
      <c r="E182" s="109" t="str">
        <f>IFERROR(VLOOKUP($B182,'vSphere Pricing'!$C$7:$Q$11,5,FALSE),IFERROR(VLOOKUP($B182,'Add-on Pricing'!$F$6:$T$42,4,FALSE),""))</f>
        <v/>
      </c>
      <c r="F182" s="9" t="str">
        <f>IFERROR(IF(VLOOKUP($B182,'vSphere Pricing'!$C$7:$Q$11,5,FALSE)=VLOOKUP($B182,'vSphere Pricing'!$C$7:$Q$11,9,FALSE),"",VLOOKUP($B182,'vSphere Pricing'!$C$7:$Q$11,9,FALSE)),"")</f>
        <v/>
      </c>
      <c r="G182" s="109"/>
      <c r="H182" s="109"/>
      <c r="I182" s="109"/>
      <c r="J182" s="109"/>
      <c r="K182" s="109"/>
    </row>
    <row r="183" spans="2:11" x14ac:dyDescent="0.2">
      <c r="B183" s="321" t="str">
        <f>IFERROR(INDEX('vSphere Pricing'!$C$7:$C$11,MATCH(ROW()-ROW($B$161),'vSphere Pricing'!$A$7:$A$11,0)),IFERROR(INDEX('Add-on Pricing'!$F$6:$F$42,MATCH(ROW()-ROW($B$161),'Add-on Pricing'!$D$6:$D$42,0)),""))</f>
        <v/>
      </c>
      <c r="C183" s="321"/>
      <c r="D183" s="109" t="str">
        <f>IFERROR(VLOOKUP($B183,'vSphere Pricing'!$C$7:$Q$11,3,FALSE),IFERROR(VLOOKUP($B183,'Add-on Pricing'!$F$6:$T$42,15,FALSE),""))</f>
        <v/>
      </c>
      <c r="E183" s="109" t="str">
        <f>IFERROR(VLOOKUP($B183,'vSphere Pricing'!$C$7:$Q$11,5,FALSE),IFERROR(VLOOKUP($B183,'Add-on Pricing'!$F$6:$T$42,4,FALSE),""))</f>
        <v/>
      </c>
      <c r="F183" s="9" t="str">
        <f>IFERROR(IF(VLOOKUP($B183,'vSphere Pricing'!$C$7:$Q$11,5,FALSE)=VLOOKUP($B183,'vSphere Pricing'!$C$7:$Q$11,9,FALSE),"",VLOOKUP($B183,'vSphere Pricing'!$C$7:$Q$11,9,FALSE)),"")</f>
        <v/>
      </c>
      <c r="G183" s="109"/>
      <c r="H183" s="109"/>
      <c r="I183" s="109"/>
      <c r="J183" s="109"/>
      <c r="K183" s="109"/>
    </row>
    <row r="184" spans="2:11" x14ac:dyDescent="0.2">
      <c r="B184" s="321" t="str">
        <f>IFERROR(INDEX('vSphere Pricing'!$C$7:$C$11,MATCH(ROW()-ROW($B$161),'vSphere Pricing'!$A$7:$A$11,0)),IFERROR(INDEX('Add-on Pricing'!$F$6:$F$42,MATCH(ROW()-ROW($B$161),'Add-on Pricing'!$D$6:$D$42,0)),""))</f>
        <v/>
      </c>
      <c r="C184" s="321"/>
      <c r="D184" s="109" t="str">
        <f>IFERROR(VLOOKUP($B184,'vSphere Pricing'!$C$7:$Q$11,3,FALSE),IFERROR(VLOOKUP($B184,'Add-on Pricing'!$F$6:$T$42,15,FALSE),""))</f>
        <v/>
      </c>
      <c r="E184" s="109" t="str">
        <f>IFERROR(VLOOKUP($B184,'vSphere Pricing'!$C$7:$Q$11,5,FALSE),IFERROR(VLOOKUP($B184,'Add-on Pricing'!$F$6:$T$42,4,FALSE),""))</f>
        <v/>
      </c>
      <c r="F184" s="9" t="str">
        <f>IFERROR(IF(VLOOKUP($B184,'vSphere Pricing'!$C$7:$Q$11,5,FALSE)=VLOOKUP($B184,'vSphere Pricing'!$C$7:$Q$11,9,FALSE),"",VLOOKUP($B184,'vSphere Pricing'!$C$7:$Q$11,9,FALSE)),"")</f>
        <v/>
      </c>
      <c r="G184" s="109"/>
      <c r="H184" s="109"/>
      <c r="I184" s="109"/>
      <c r="J184" s="109"/>
      <c r="K184" s="109"/>
    </row>
    <row r="185" spans="2:11" x14ac:dyDescent="0.2">
      <c r="B185" s="321" t="str">
        <f>IFERROR(INDEX('vSphere Pricing'!$C$7:$C$11,MATCH(ROW()-ROW($B$161),'vSphere Pricing'!$A$7:$A$11,0)),IFERROR(INDEX('Add-on Pricing'!$F$6:$F$42,MATCH(ROW()-ROW($B$161),'Add-on Pricing'!$D$6:$D$42,0)),""))</f>
        <v/>
      </c>
      <c r="C185" s="321"/>
      <c r="D185" s="109" t="str">
        <f>IFERROR(VLOOKUP($B185,'vSphere Pricing'!$C$7:$Q$11,3,FALSE),IFERROR(VLOOKUP($B185,'Add-on Pricing'!$F$6:$T$42,15,FALSE),""))</f>
        <v/>
      </c>
      <c r="E185" s="109" t="str">
        <f>IFERROR(VLOOKUP($B185,'vSphere Pricing'!$C$7:$Q$11,5,FALSE),IFERROR(VLOOKUP($B185,'Add-on Pricing'!$F$6:$T$42,4,FALSE),""))</f>
        <v/>
      </c>
      <c r="F185" s="9" t="str">
        <f>IFERROR(IF(VLOOKUP($B185,'vSphere Pricing'!$C$7:$Q$11,5,FALSE)=VLOOKUP($B185,'vSphere Pricing'!$C$7:$Q$11,9,FALSE),"",VLOOKUP($B185,'vSphere Pricing'!$C$7:$Q$11,9,FALSE)),"")</f>
        <v/>
      </c>
      <c r="G185" s="109"/>
      <c r="H185" s="109"/>
      <c r="I185" s="109"/>
      <c r="J185" s="109"/>
      <c r="K185" s="109"/>
    </row>
    <row r="186" spans="2:11" x14ac:dyDescent="0.2">
      <c r="B186" s="321" t="str">
        <f>IFERROR(INDEX('vSphere Pricing'!$C$7:$C$11,MATCH(ROW()-ROW($B$161),'vSphere Pricing'!$A$7:$A$11,0)),IFERROR(INDEX('Add-on Pricing'!$F$6:$F$42,MATCH(ROW()-ROW($B$161),'Add-on Pricing'!$D$6:$D$42,0)),""))</f>
        <v/>
      </c>
      <c r="C186" s="321"/>
      <c r="D186" s="109" t="str">
        <f>IFERROR(VLOOKUP($B186,'vSphere Pricing'!$C$7:$Q$11,3,FALSE),IFERROR(VLOOKUP($B186,'Add-on Pricing'!$F$6:$T$42,15,FALSE),""))</f>
        <v/>
      </c>
      <c r="E186" s="109" t="str">
        <f>IFERROR(VLOOKUP($B186,'vSphere Pricing'!$C$7:$Q$11,5,FALSE),IFERROR(VLOOKUP($B186,'Add-on Pricing'!$F$6:$T$42,4,FALSE),""))</f>
        <v/>
      </c>
      <c r="F186" s="9" t="str">
        <f>IFERROR(IF(VLOOKUP($B186,'vSphere Pricing'!$C$7:$Q$11,5,FALSE)=VLOOKUP($B186,'vSphere Pricing'!$C$7:$Q$11,9,FALSE),"",VLOOKUP($B186,'vSphere Pricing'!$C$7:$Q$11,9,FALSE)),"")</f>
        <v/>
      </c>
      <c r="G186" s="109"/>
      <c r="H186" s="109"/>
      <c r="I186" s="109"/>
      <c r="J186" s="109"/>
      <c r="K186" s="109"/>
    </row>
    <row r="187" spans="2:11" x14ac:dyDescent="0.2">
      <c r="B187" s="321" t="str">
        <f>IFERROR(INDEX('vSphere Pricing'!$C$7:$C$11,MATCH(ROW()-ROW($B$161),'vSphere Pricing'!$A$7:$A$11,0)),IFERROR(INDEX('Add-on Pricing'!$F$6:$F$42,MATCH(ROW()-ROW($B$161),'Add-on Pricing'!$D$6:$D$42,0)),""))</f>
        <v/>
      </c>
      <c r="C187" s="321"/>
      <c r="D187" s="109" t="str">
        <f>IFERROR(VLOOKUP($B187,'vSphere Pricing'!$C$7:$Q$11,3,FALSE),IFERROR(VLOOKUP($B187,'Add-on Pricing'!$F$6:$T$42,15,FALSE),""))</f>
        <v/>
      </c>
      <c r="E187" s="109" t="str">
        <f>IFERROR(VLOOKUP($B187,'vSphere Pricing'!$C$7:$Q$11,5,FALSE),IFERROR(VLOOKUP($B187,'Add-on Pricing'!$F$6:$T$42,4,FALSE),""))</f>
        <v/>
      </c>
      <c r="F187" s="9" t="str">
        <f>IFERROR(IF(VLOOKUP($B187,'vSphere Pricing'!$C$7:$Q$11,5,FALSE)=VLOOKUP($B187,'vSphere Pricing'!$C$7:$Q$11,9,FALSE),"",VLOOKUP($B187,'vSphere Pricing'!$C$7:$Q$11,9,FALSE)),"")</f>
        <v/>
      </c>
      <c r="G187" s="109"/>
      <c r="H187" s="109"/>
      <c r="I187" s="109"/>
      <c r="J187" s="109"/>
      <c r="K187" s="109"/>
    </row>
    <row r="188" spans="2:11" x14ac:dyDescent="0.2">
      <c r="B188" s="321" t="str">
        <f>IFERROR(INDEX('vSphere Pricing'!$C$7:$C$11,MATCH(ROW()-ROW($B$161),'vSphere Pricing'!$A$7:$A$11,0)),IFERROR(INDEX('Add-on Pricing'!$F$6:$F$42,MATCH(ROW()-ROW($B$161),'Add-on Pricing'!$D$6:$D$42,0)),""))</f>
        <v/>
      </c>
      <c r="C188" s="321"/>
      <c r="D188" s="109" t="str">
        <f>IFERROR(VLOOKUP($B188,'vSphere Pricing'!$C$7:$Q$11,3,FALSE),IFERROR(VLOOKUP($B188,'Add-on Pricing'!$F$6:$T$42,15,FALSE),""))</f>
        <v/>
      </c>
      <c r="E188" s="109" t="str">
        <f>IFERROR(VLOOKUP($B188,'vSphere Pricing'!$C$7:$Q$11,5,FALSE),IFERROR(VLOOKUP($B188,'Add-on Pricing'!$F$6:$T$42,4,FALSE),""))</f>
        <v/>
      </c>
      <c r="F188" s="9" t="str">
        <f>IFERROR(IF(VLOOKUP($B188,'vSphere Pricing'!$C$7:$Q$11,5,FALSE)=VLOOKUP($B188,'vSphere Pricing'!$C$7:$Q$11,9,FALSE),"",VLOOKUP($B188,'vSphere Pricing'!$C$7:$Q$11,9,FALSE)),"")</f>
        <v/>
      </c>
      <c r="G188" s="109"/>
      <c r="H188" s="109"/>
      <c r="I188" s="109"/>
      <c r="J188" s="109"/>
      <c r="K188" s="109"/>
    </row>
    <row r="189" spans="2:11" x14ac:dyDescent="0.2">
      <c r="B189" s="321" t="str">
        <f>IFERROR(INDEX('vSphere Pricing'!$C$7:$C$11,MATCH(ROW()-ROW($B$161),'vSphere Pricing'!$A$7:$A$11,0)),IFERROR(INDEX('Add-on Pricing'!$F$6:$F$42,MATCH(ROW()-ROW($B$161),'Add-on Pricing'!$D$6:$D$42,0)),""))</f>
        <v/>
      </c>
      <c r="C189" s="321"/>
      <c r="D189" s="109" t="str">
        <f>IFERROR(VLOOKUP($B189,'vSphere Pricing'!$C$7:$Q$11,3,FALSE),IFERROR(VLOOKUP($B189,'Add-on Pricing'!$F$6:$T$42,15,FALSE),""))</f>
        <v/>
      </c>
      <c r="E189" s="109" t="str">
        <f>IFERROR(VLOOKUP($B189,'vSphere Pricing'!$C$7:$Q$11,5,FALSE),IFERROR(VLOOKUP($B189,'Add-on Pricing'!$F$6:$T$42,4,FALSE),""))</f>
        <v/>
      </c>
      <c r="F189" s="9" t="str">
        <f>IFERROR(IF(VLOOKUP($B189,'vSphere Pricing'!$C$7:$Q$11,5,FALSE)=VLOOKUP($B189,'vSphere Pricing'!$C$7:$Q$11,9,FALSE),"",VLOOKUP($B189,'vSphere Pricing'!$C$7:$Q$11,9,FALSE)),"")</f>
        <v/>
      </c>
      <c r="G189" s="109"/>
      <c r="H189" s="109"/>
      <c r="I189" s="109"/>
      <c r="J189" s="109"/>
      <c r="K189" s="109"/>
    </row>
    <row r="190" spans="2:11" x14ac:dyDescent="0.2">
      <c r="B190" s="321" t="str">
        <f>IFERROR(INDEX('vSphere Pricing'!$C$7:$C$11,MATCH(ROW()-ROW($B$161),'vSphere Pricing'!$A$7:$A$11,0)),IFERROR(INDEX('Add-on Pricing'!$F$6:$F$42,MATCH(ROW()-ROW($B$161),'Add-on Pricing'!$D$6:$D$42,0)),""))</f>
        <v/>
      </c>
      <c r="C190" s="321"/>
      <c r="D190" s="109" t="str">
        <f>IFERROR(VLOOKUP($B190,'vSphere Pricing'!$C$7:$Q$11,3,FALSE),IFERROR(VLOOKUP($B190,'Add-on Pricing'!$F$6:$T$42,15,FALSE),""))</f>
        <v/>
      </c>
      <c r="E190" s="109" t="str">
        <f>IFERROR(VLOOKUP($B190,'vSphere Pricing'!$C$7:$Q$11,5,FALSE),IFERROR(VLOOKUP($B190,'Add-on Pricing'!$F$6:$T$42,4,FALSE),""))</f>
        <v/>
      </c>
      <c r="F190" s="9" t="str">
        <f>IFERROR(IF(VLOOKUP($B190,'vSphere Pricing'!$C$7:$Q$11,5,FALSE)=VLOOKUP($B190,'vSphere Pricing'!$C$7:$Q$11,9,FALSE),"",VLOOKUP($B190,'vSphere Pricing'!$C$7:$Q$11,9,FALSE)),"")</f>
        <v/>
      </c>
      <c r="G190" s="109"/>
      <c r="H190" s="109"/>
      <c r="I190" s="109"/>
      <c r="J190" s="109"/>
      <c r="K190" s="109"/>
    </row>
    <row r="191" spans="2:11" x14ac:dyDescent="0.2">
      <c r="B191" s="321" t="str">
        <f>IFERROR(INDEX('vSphere Pricing'!$C$7:$C$11,MATCH(ROW()-ROW($B$161),'vSphere Pricing'!$A$7:$A$11,0)),IFERROR(INDEX('Add-on Pricing'!$F$6:$F$42,MATCH(ROW()-ROW($B$161),'Add-on Pricing'!$D$6:$D$42,0)),""))</f>
        <v/>
      </c>
      <c r="C191" s="321"/>
      <c r="D191" s="109" t="str">
        <f>IFERROR(VLOOKUP($B191,'vSphere Pricing'!$C$7:$Q$11,3,FALSE),IFERROR(VLOOKUP($B191,'Add-on Pricing'!$F$6:$T$42,15,FALSE),""))</f>
        <v/>
      </c>
      <c r="E191" s="109" t="str">
        <f>IFERROR(VLOOKUP($B191,'vSphere Pricing'!$C$7:$Q$11,5,FALSE),IFERROR(VLOOKUP($B191,'Add-on Pricing'!$F$6:$T$42,4,FALSE),""))</f>
        <v/>
      </c>
      <c r="F191" s="9" t="str">
        <f>IFERROR(IF(VLOOKUP($B191,'vSphere Pricing'!$C$7:$Q$11,5,FALSE)=VLOOKUP($B191,'vSphere Pricing'!$C$7:$Q$11,9,FALSE),"",VLOOKUP($B191,'vSphere Pricing'!$C$7:$Q$11,9,FALSE)),"")</f>
        <v/>
      </c>
      <c r="G191" s="109"/>
      <c r="H191" s="109"/>
      <c r="I191" s="109"/>
      <c r="J191" s="109"/>
      <c r="K191" s="109"/>
    </row>
    <row r="192" spans="2:11" x14ac:dyDescent="0.2">
      <c r="B192" s="74"/>
      <c r="C192" s="74"/>
      <c r="D192" s="109"/>
      <c r="E192" s="109"/>
      <c r="F192" s="109"/>
      <c r="G192" s="109"/>
      <c r="H192" s="109"/>
      <c r="I192" s="109"/>
      <c r="J192" s="109"/>
      <c r="K192" s="109"/>
    </row>
    <row r="193" spans="2:11" x14ac:dyDescent="0.2">
      <c r="B193" s="9"/>
      <c r="C193" s="9"/>
      <c r="D193" s="109"/>
      <c r="E193" s="109"/>
      <c r="F193" s="109"/>
      <c r="G193" s="109"/>
      <c r="H193" s="109"/>
      <c r="I193" s="109"/>
      <c r="J193" s="109"/>
      <c r="K193" s="109"/>
    </row>
    <row r="194" spans="2:11" x14ac:dyDescent="0.2">
      <c r="B194" s="9"/>
      <c r="C194" s="9"/>
      <c r="D194" s="109"/>
      <c r="E194" s="109"/>
      <c r="F194" s="109"/>
      <c r="G194" s="109"/>
      <c r="H194" s="109"/>
      <c r="I194" s="109"/>
      <c r="J194" s="109"/>
      <c r="K194" s="109"/>
    </row>
    <row r="195" spans="2:11" x14ac:dyDescent="0.2">
      <c r="B195" s="9"/>
      <c r="C195" s="9"/>
      <c r="D195" s="109"/>
      <c r="F195" s="109"/>
      <c r="G195" s="109"/>
      <c r="H195" s="109"/>
      <c r="I195" s="109"/>
      <c r="J195" s="109"/>
      <c r="K195" s="109"/>
    </row>
    <row r="196" spans="2:11" x14ac:dyDescent="0.2">
      <c r="B196" s="9"/>
      <c r="C196" s="9"/>
      <c r="D196" s="109"/>
      <c r="E196" s="109"/>
      <c r="F196" s="109"/>
      <c r="G196" s="109"/>
      <c r="H196" s="109"/>
      <c r="I196" s="109"/>
      <c r="J196" s="109"/>
      <c r="K196" s="109"/>
    </row>
    <row r="197" spans="2:11" x14ac:dyDescent="0.2">
      <c r="B197" s="9"/>
      <c r="C197" s="9"/>
      <c r="D197" s="109"/>
      <c r="E197" s="109"/>
      <c r="F197" s="109"/>
      <c r="G197" s="109"/>
      <c r="H197" s="109"/>
      <c r="I197" s="109"/>
      <c r="J197" s="109"/>
      <c r="K197" s="109"/>
    </row>
    <row r="198" spans="2:11" x14ac:dyDescent="0.2">
      <c r="B198" s="9"/>
      <c r="C198" s="9"/>
      <c r="D198" s="109"/>
      <c r="E198" s="109"/>
      <c r="F198" s="109"/>
      <c r="G198" s="109"/>
      <c r="H198" s="109"/>
      <c r="I198" s="109"/>
      <c r="J198" s="109"/>
      <c r="K198" s="109"/>
    </row>
    <row r="199" spans="2:11" x14ac:dyDescent="0.2">
      <c r="B199" s="9"/>
      <c r="C199" s="9"/>
      <c r="D199" s="109"/>
      <c r="E199" s="109"/>
      <c r="F199" s="109"/>
      <c r="G199" s="109"/>
      <c r="H199" s="109"/>
      <c r="I199" s="109"/>
      <c r="J199" s="109"/>
      <c r="K199" s="109"/>
    </row>
    <row r="200" spans="2:11" x14ac:dyDescent="0.2">
      <c r="B200" s="9"/>
      <c r="C200" s="9"/>
      <c r="D200" s="109"/>
      <c r="E200" s="109"/>
      <c r="F200" s="109"/>
      <c r="G200" s="109"/>
      <c r="H200" s="109"/>
      <c r="I200" s="109"/>
      <c r="J200" s="109"/>
      <c r="K200" s="109"/>
    </row>
    <row r="201" spans="2:11" x14ac:dyDescent="0.2">
      <c r="B201" s="9"/>
      <c r="C201" s="9"/>
      <c r="D201" s="109"/>
      <c r="E201" s="109"/>
      <c r="F201" s="109"/>
      <c r="G201" s="109"/>
      <c r="H201" s="109"/>
      <c r="I201" s="109"/>
      <c r="J201" s="109"/>
      <c r="K201" s="109"/>
    </row>
    <row r="202" spans="2:11" x14ac:dyDescent="0.2">
      <c r="B202" s="9"/>
      <c r="C202" s="9"/>
      <c r="D202" s="9"/>
      <c r="E202" s="9"/>
      <c r="F202" s="9"/>
      <c r="G202" s="9"/>
    </row>
    <row r="203" spans="2:11" x14ac:dyDescent="0.2">
      <c r="B203" s="9"/>
      <c r="C203" s="9"/>
      <c r="D203" s="9"/>
      <c r="E203" s="9"/>
      <c r="F203" s="9"/>
      <c r="G203" s="9"/>
    </row>
    <row r="204" spans="2:11" x14ac:dyDescent="0.2">
      <c r="B204" s="9"/>
      <c r="C204" s="9"/>
      <c r="D204" s="9"/>
      <c r="E204" s="9"/>
      <c r="F204" s="9"/>
      <c r="G204" s="9"/>
    </row>
    <row r="205" spans="2:11" x14ac:dyDescent="0.2">
      <c r="B205" s="9"/>
      <c r="C205" s="9"/>
      <c r="D205" s="9"/>
      <c r="E205" s="9"/>
      <c r="F205" s="9"/>
      <c r="G205" s="9"/>
    </row>
    <row r="206" spans="2:11" x14ac:dyDescent="0.2">
      <c r="B206" s="9"/>
      <c r="C206" s="9"/>
      <c r="D206" s="9"/>
      <c r="E206" s="9"/>
      <c r="F206" s="9"/>
      <c r="G206" s="9"/>
    </row>
    <row r="207" spans="2:11" x14ac:dyDescent="0.2">
      <c r="B207" s="9"/>
      <c r="C207" s="9"/>
      <c r="D207" s="9"/>
      <c r="E207" s="9"/>
      <c r="F207" s="9"/>
      <c r="G207" s="9"/>
    </row>
    <row r="208" spans="2:11" x14ac:dyDescent="0.2">
      <c r="B208" s="9"/>
      <c r="C208" s="9"/>
      <c r="D208" s="9"/>
      <c r="E208" s="9"/>
      <c r="F208" s="9"/>
      <c r="G208" s="9"/>
    </row>
    <row r="209" spans="2:7" x14ac:dyDescent="0.2">
      <c r="B209" s="9"/>
      <c r="C209" s="9"/>
      <c r="D209" s="9"/>
      <c r="E209" s="9"/>
      <c r="F209" s="9"/>
      <c r="G209" s="9"/>
    </row>
    <row r="210" spans="2:7" x14ac:dyDescent="0.2">
      <c r="B210" s="9"/>
      <c r="C210" s="9"/>
      <c r="D210" s="9"/>
      <c r="E210" s="9"/>
      <c r="F210" s="9"/>
      <c r="G210" s="9"/>
    </row>
    <row r="211" spans="2:7" x14ac:dyDescent="0.2">
      <c r="B211" s="9"/>
      <c r="C211" s="9"/>
      <c r="D211" s="9"/>
      <c r="E211" s="9"/>
      <c r="F211" s="9"/>
      <c r="G211" s="9"/>
    </row>
    <row r="212" spans="2:7" x14ac:dyDescent="0.2">
      <c r="B212" s="9"/>
      <c r="C212" s="9"/>
      <c r="D212" s="9"/>
      <c r="E212" s="9"/>
      <c r="F212" s="9"/>
      <c r="G212" s="9"/>
    </row>
    <row r="213" spans="2:7" x14ac:dyDescent="0.2">
      <c r="B213" s="9"/>
      <c r="C213" s="9"/>
      <c r="D213" s="9"/>
      <c r="E213" s="9"/>
      <c r="F213" s="9"/>
      <c r="G213" s="9"/>
    </row>
    <row r="214" spans="2:7" x14ac:dyDescent="0.2">
      <c r="B214" s="9"/>
      <c r="C214" s="9"/>
      <c r="D214" s="9"/>
      <c r="E214" s="9"/>
      <c r="F214" s="9"/>
      <c r="G214" s="9"/>
    </row>
    <row r="215" spans="2:7" x14ac:dyDescent="0.2">
      <c r="B215" s="9"/>
      <c r="C215" s="9"/>
      <c r="D215" s="9"/>
      <c r="E215" s="9"/>
      <c r="F215" s="9"/>
      <c r="G215" s="9"/>
    </row>
    <row r="216" spans="2:7" x14ac:dyDescent="0.2">
      <c r="B216" s="9"/>
      <c r="C216" s="9"/>
      <c r="D216" s="9"/>
      <c r="E216" s="9"/>
      <c r="F216" s="9"/>
      <c r="G216" s="9"/>
    </row>
    <row r="217" spans="2:7" x14ac:dyDescent="0.2">
      <c r="B217" s="9"/>
      <c r="C217" s="9"/>
      <c r="D217" s="9"/>
      <c r="E217" s="9"/>
      <c r="F217" s="9"/>
      <c r="G217" s="9"/>
    </row>
    <row r="218" spans="2:7" x14ac:dyDescent="0.2">
      <c r="B218" s="9"/>
      <c r="C218" s="9"/>
      <c r="D218" s="9"/>
      <c r="E218" s="9"/>
      <c r="F218" s="9"/>
      <c r="G218" s="9"/>
    </row>
    <row r="219" spans="2:7" x14ac:dyDescent="0.2">
      <c r="B219" s="9"/>
      <c r="C219" s="9"/>
      <c r="D219" s="9"/>
      <c r="E219" s="9"/>
      <c r="F219" s="9"/>
      <c r="G219" s="9"/>
    </row>
    <row r="220" spans="2:7" x14ac:dyDescent="0.2">
      <c r="B220" s="9"/>
      <c r="C220" s="9"/>
      <c r="D220" s="9"/>
      <c r="E220" s="9"/>
      <c r="F220" s="9"/>
      <c r="G220" s="9"/>
    </row>
    <row r="221" spans="2:7" x14ac:dyDescent="0.2">
      <c r="B221" s="9"/>
      <c r="C221" s="9"/>
      <c r="D221" s="9"/>
      <c r="E221" s="9"/>
      <c r="F221" s="9"/>
      <c r="G221" s="9"/>
    </row>
    <row r="222" spans="2:7" x14ac:dyDescent="0.2">
      <c r="B222" s="9"/>
      <c r="C222" s="9"/>
      <c r="D222" s="9"/>
      <c r="E222" s="9"/>
      <c r="F222" s="9"/>
      <c r="G222" s="9"/>
    </row>
    <row r="223" spans="2:7" x14ac:dyDescent="0.2">
      <c r="B223" s="9"/>
      <c r="C223" s="9"/>
      <c r="D223" s="9"/>
      <c r="E223" s="9"/>
      <c r="F223" s="9"/>
      <c r="G223" s="9"/>
    </row>
    <row r="224" spans="2:7" x14ac:dyDescent="0.2">
      <c r="B224" s="9"/>
      <c r="C224" s="9"/>
      <c r="D224" s="9"/>
      <c r="E224" s="9"/>
      <c r="F224" s="9"/>
      <c r="G224" s="9"/>
    </row>
    <row r="225" spans="2:7" x14ac:dyDescent="0.2">
      <c r="B225" s="9"/>
      <c r="C225" s="9"/>
      <c r="D225" s="9"/>
      <c r="E225" s="9"/>
      <c r="F225" s="9"/>
      <c r="G225" s="9"/>
    </row>
    <row r="226" spans="2:7" x14ac:dyDescent="0.2">
      <c r="B226" s="9"/>
      <c r="C226" s="9"/>
      <c r="D226" s="9"/>
      <c r="E226" s="9"/>
      <c r="F226" s="9"/>
      <c r="G226" s="9"/>
    </row>
    <row r="227" spans="2:7" x14ac:dyDescent="0.2">
      <c r="B227" s="9"/>
      <c r="C227" s="9"/>
      <c r="D227" s="9"/>
      <c r="E227" s="9"/>
      <c r="F227" s="9"/>
      <c r="G227" s="9"/>
    </row>
    <row r="228" spans="2:7" x14ac:dyDescent="0.2">
      <c r="B228" s="9"/>
      <c r="C228" s="9"/>
      <c r="D228" s="9"/>
      <c r="E228" s="9"/>
      <c r="F228" s="9"/>
      <c r="G228" s="9"/>
    </row>
    <row r="229" spans="2:7" x14ac:dyDescent="0.2">
      <c r="B229" s="9"/>
      <c r="C229" s="9"/>
      <c r="D229" s="9"/>
      <c r="E229" s="9"/>
      <c r="F229" s="9"/>
      <c r="G229" s="9"/>
    </row>
    <row r="230" spans="2:7" x14ac:dyDescent="0.2">
      <c r="B230" s="9"/>
      <c r="C230" s="9"/>
      <c r="D230" s="9"/>
      <c r="E230" s="9"/>
      <c r="F230" s="9"/>
      <c r="G230" s="9"/>
    </row>
    <row r="231" spans="2:7" x14ac:dyDescent="0.2">
      <c r="B231" s="9"/>
      <c r="C231" s="9"/>
      <c r="D231" s="9"/>
      <c r="E231" s="9"/>
      <c r="F231" s="9"/>
      <c r="G231" s="9"/>
    </row>
    <row r="232" spans="2:7" x14ac:dyDescent="0.2">
      <c r="B232" s="9"/>
      <c r="C232" s="9"/>
      <c r="D232" s="9"/>
      <c r="E232" s="9"/>
      <c r="F232" s="9"/>
      <c r="G232" s="9"/>
    </row>
    <row r="233" spans="2:7" x14ac:dyDescent="0.2">
      <c r="B233" s="9"/>
      <c r="C233" s="9"/>
      <c r="D233" s="9"/>
      <c r="E233" s="9"/>
      <c r="F233" s="9"/>
      <c r="G233" s="9"/>
    </row>
    <row r="234" spans="2:7" x14ac:dyDescent="0.2">
      <c r="B234" s="9"/>
      <c r="C234" s="9"/>
      <c r="D234" s="9"/>
      <c r="E234" s="9"/>
      <c r="F234" s="9"/>
      <c r="G234" s="9"/>
    </row>
    <row r="235" spans="2:7" x14ac:dyDescent="0.2">
      <c r="B235" s="9"/>
      <c r="C235" s="9"/>
      <c r="D235" s="9"/>
      <c r="E235" s="9"/>
      <c r="F235" s="9"/>
      <c r="G235" s="9"/>
    </row>
    <row r="236" spans="2:7" x14ac:dyDescent="0.2">
      <c r="B236" s="9"/>
      <c r="C236" s="9"/>
      <c r="D236" s="9"/>
      <c r="E236" s="9"/>
      <c r="F236" s="9"/>
      <c r="G236" s="9"/>
    </row>
    <row r="237" spans="2:7" x14ac:dyDescent="0.2">
      <c r="B237" s="9"/>
      <c r="C237" s="9"/>
      <c r="D237" s="9"/>
      <c r="E237" s="9"/>
      <c r="F237" s="9"/>
      <c r="G237" s="9"/>
    </row>
    <row r="238" spans="2:7" x14ac:dyDescent="0.2">
      <c r="B238" s="9"/>
      <c r="C238" s="9"/>
      <c r="D238" s="9"/>
      <c r="E238" s="9"/>
      <c r="F238" s="9"/>
      <c r="G238" s="9"/>
    </row>
    <row r="239" spans="2:7" x14ac:dyDescent="0.2">
      <c r="B239" s="9"/>
      <c r="C239" s="9"/>
      <c r="D239" s="9"/>
      <c r="E239" s="9"/>
      <c r="F239" s="9"/>
      <c r="G239" s="9"/>
    </row>
    <row r="240" spans="2:7" x14ac:dyDescent="0.2">
      <c r="B240" s="9"/>
      <c r="C240" s="9"/>
      <c r="D240" s="9"/>
      <c r="E240" s="9"/>
      <c r="F240" s="9"/>
      <c r="G240" s="9"/>
    </row>
    <row r="241" spans="2:7" x14ac:dyDescent="0.2">
      <c r="B241" s="9"/>
      <c r="C241" s="9"/>
      <c r="D241" s="9"/>
      <c r="E241" s="9"/>
      <c r="F241" s="9"/>
      <c r="G241" s="9"/>
    </row>
    <row r="242" spans="2:7" x14ac:dyDescent="0.2">
      <c r="B242" s="9"/>
      <c r="C242" s="9"/>
      <c r="D242" s="9"/>
      <c r="E242" s="9"/>
      <c r="F242" s="9"/>
      <c r="G242" s="9"/>
    </row>
    <row r="243" spans="2:7" x14ac:dyDescent="0.2">
      <c r="B243" s="9"/>
      <c r="C243" s="9"/>
      <c r="D243" s="9"/>
      <c r="E243" s="9"/>
      <c r="F243" s="9"/>
      <c r="G243" s="9"/>
    </row>
    <row r="244" spans="2:7" x14ac:dyDescent="0.2">
      <c r="B244" s="9"/>
      <c r="C244" s="9"/>
      <c r="D244" s="9"/>
      <c r="E244" s="9"/>
      <c r="F244" s="9"/>
      <c r="G244" s="9"/>
    </row>
    <row r="245" spans="2:7" x14ac:dyDescent="0.2">
      <c r="B245" s="9"/>
      <c r="C245" s="9"/>
      <c r="D245" s="9"/>
      <c r="E245" s="9"/>
      <c r="F245" s="9"/>
      <c r="G245" s="9"/>
    </row>
    <row r="246" spans="2:7" x14ac:dyDescent="0.2">
      <c r="B246" s="9"/>
      <c r="C246" s="9"/>
      <c r="D246" s="9"/>
      <c r="E246" s="9"/>
      <c r="F246" s="9"/>
      <c r="G246" s="9"/>
    </row>
    <row r="247" spans="2:7" x14ac:dyDescent="0.2">
      <c r="B247" s="9"/>
      <c r="C247" s="9"/>
      <c r="D247" s="9"/>
      <c r="E247" s="9"/>
      <c r="F247" s="9"/>
      <c r="G247" s="9"/>
    </row>
    <row r="248" spans="2:7" x14ac:dyDescent="0.2">
      <c r="B248" s="9"/>
      <c r="C248" s="9"/>
      <c r="D248" s="9"/>
      <c r="E248" s="9"/>
      <c r="F248" s="9"/>
      <c r="G248" s="9"/>
    </row>
    <row r="249" spans="2:7" x14ac:dyDescent="0.2">
      <c r="B249" s="9"/>
      <c r="C249" s="9"/>
      <c r="D249" s="9"/>
      <c r="E249" s="9"/>
      <c r="F249" s="9"/>
      <c r="G249" s="9"/>
    </row>
    <row r="250" spans="2:7" x14ac:dyDescent="0.2">
      <c r="B250" s="9"/>
      <c r="C250" s="9"/>
      <c r="D250" s="9"/>
      <c r="E250" s="9"/>
      <c r="F250" s="9"/>
      <c r="G250" s="9"/>
    </row>
    <row r="251" spans="2:7" x14ac:dyDescent="0.2">
      <c r="B251" s="9"/>
      <c r="C251" s="9"/>
      <c r="D251" s="9"/>
      <c r="E251" s="9"/>
      <c r="F251" s="9"/>
      <c r="G251" s="9"/>
    </row>
    <row r="252" spans="2:7" x14ac:dyDescent="0.2">
      <c r="B252" s="9"/>
      <c r="C252" s="9"/>
      <c r="D252" s="9"/>
      <c r="E252" s="9"/>
      <c r="F252" s="9"/>
      <c r="G252" s="9"/>
    </row>
    <row r="253" spans="2:7" x14ac:dyDescent="0.2">
      <c r="B253" s="9"/>
      <c r="C253" s="9"/>
      <c r="D253" s="9"/>
      <c r="E253" s="9"/>
      <c r="F253" s="9"/>
      <c r="G253" s="9"/>
    </row>
    <row r="254" spans="2:7" x14ac:dyDescent="0.2">
      <c r="B254" s="9"/>
      <c r="C254" s="9"/>
      <c r="D254" s="9"/>
      <c r="E254" s="9"/>
      <c r="F254" s="9"/>
      <c r="G254" s="9"/>
    </row>
    <row r="255" spans="2:7" x14ac:dyDescent="0.2">
      <c r="B255" s="9"/>
      <c r="C255" s="9"/>
      <c r="D255" s="9"/>
      <c r="E255" s="9"/>
      <c r="F255" s="9"/>
      <c r="G255" s="9"/>
    </row>
    <row r="256" spans="2:7" x14ac:dyDescent="0.2">
      <c r="B256" s="9"/>
      <c r="C256" s="9"/>
      <c r="D256" s="9"/>
      <c r="E256" s="9"/>
      <c r="F256" s="9"/>
      <c r="G256" s="9"/>
    </row>
    <row r="257" spans="2:7" x14ac:dyDescent="0.2">
      <c r="B257" s="9"/>
      <c r="C257" s="9"/>
      <c r="D257" s="9"/>
      <c r="E257" s="9"/>
      <c r="F257" s="9"/>
      <c r="G257" s="9"/>
    </row>
    <row r="258" spans="2:7" x14ac:dyDescent="0.2">
      <c r="B258" s="9"/>
      <c r="C258" s="9"/>
      <c r="D258" s="9"/>
      <c r="E258" s="9"/>
      <c r="F258" s="9"/>
      <c r="G258" s="9"/>
    </row>
    <row r="259" spans="2:7" x14ac:dyDescent="0.2">
      <c r="B259" s="9"/>
      <c r="C259" s="9"/>
      <c r="D259" s="9"/>
      <c r="E259" s="9"/>
      <c r="F259" s="9"/>
      <c r="G259" s="9"/>
    </row>
    <row r="260" spans="2:7" x14ac:dyDescent="0.2">
      <c r="B260" s="9"/>
      <c r="C260" s="9"/>
      <c r="D260" s="9"/>
      <c r="E260" s="9"/>
      <c r="F260" s="9"/>
      <c r="G260" s="9"/>
    </row>
    <row r="261" spans="2:7" x14ac:dyDescent="0.2">
      <c r="B261" s="9"/>
      <c r="C261" s="9"/>
      <c r="D261" s="9"/>
      <c r="E261" s="9"/>
      <c r="F261" s="9"/>
      <c r="G261" s="9"/>
    </row>
    <row r="262" spans="2:7" x14ac:dyDescent="0.2">
      <c r="B262" s="9"/>
      <c r="C262" s="9"/>
      <c r="D262" s="9"/>
      <c r="E262" s="9"/>
      <c r="F262" s="9"/>
      <c r="G262" s="9"/>
    </row>
    <row r="263" spans="2:7" x14ac:dyDescent="0.2">
      <c r="B263" s="9"/>
      <c r="C263" s="9"/>
      <c r="D263" s="9"/>
      <c r="E263" s="9"/>
      <c r="F263" s="9"/>
      <c r="G263" s="9"/>
    </row>
    <row r="264" spans="2:7" x14ac:dyDescent="0.2">
      <c r="B264" s="9"/>
      <c r="C264" s="9"/>
      <c r="D264" s="9"/>
      <c r="E264" s="9"/>
      <c r="F264" s="9"/>
      <c r="G264" s="9"/>
    </row>
    <row r="265" spans="2:7" x14ac:dyDescent="0.2">
      <c r="B265" s="9"/>
      <c r="C265" s="9"/>
      <c r="D265" s="9"/>
      <c r="E265" s="9"/>
      <c r="F265" s="9"/>
      <c r="G265" s="9"/>
    </row>
    <row r="266" spans="2:7" x14ac:dyDescent="0.2">
      <c r="B266" s="9"/>
      <c r="C266" s="9"/>
      <c r="D266" s="9"/>
      <c r="E266" s="9"/>
      <c r="F266" s="9"/>
      <c r="G266" s="9"/>
    </row>
    <row r="267" spans="2:7" x14ac:dyDescent="0.2">
      <c r="B267" s="9"/>
      <c r="C267" s="9"/>
      <c r="D267" s="9"/>
      <c r="E267" s="9"/>
      <c r="F267" s="9"/>
      <c r="G267" s="9"/>
    </row>
    <row r="268" spans="2:7" x14ac:dyDescent="0.2">
      <c r="B268" s="9"/>
      <c r="C268" s="9"/>
      <c r="D268" s="9"/>
      <c r="E268" s="9"/>
      <c r="F268" s="9"/>
      <c r="G268" s="9"/>
    </row>
    <row r="269" spans="2:7" x14ac:dyDescent="0.2">
      <c r="B269" s="9"/>
      <c r="C269" s="9"/>
      <c r="D269" s="9"/>
      <c r="E269" s="9"/>
      <c r="F269" s="9"/>
      <c r="G269" s="9"/>
    </row>
    <row r="270" spans="2:7" x14ac:dyDescent="0.2">
      <c r="B270" s="9"/>
      <c r="C270" s="9"/>
      <c r="D270" s="9"/>
      <c r="E270" s="9"/>
      <c r="F270" s="9"/>
      <c r="G270" s="9"/>
    </row>
    <row r="271" spans="2:7" x14ac:dyDescent="0.2">
      <c r="B271" s="9"/>
      <c r="C271" s="9"/>
      <c r="D271" s="9"/>
      <c r="E271" s="9"/>
      <c r="F271" s="9"/>
      <c r="G271" s="9"/>
    </row>
    <row r="272" spans="2:7" x14ac:dyDescent="0.2">
      <c r="B272" s="9"/>
      <c r="C272" s="9"/>
      <c r="D272" s="9"/>
      <c r="E272" s="9"/>
      <c r="F272" s="9"/>
      <c r="G272" s="9"/>
    </row>
    <row r="273" spans="2:7" x14ac:dyDescent="0.2">
      <c r="B273" s="9"/>
      <c r="C273" s="9"/>
      <c r="D273" s="9"/>
      <c r="E273" s="9"/>
      <c r="F273" s="9"/>
      <c r="G273" s="9"/>
    </row>
    <row r="274" spans="2:7" x14ac:dyDescent="0.2">
      <c r="B274" s="9"/>
      <c r="C274" s="9"/>
      <c r="D274" s="9"/>
      <c r="E274" s="9"/>
      <c r="F274" s="9"/>
      <c r="G274" s="9"/>
    </row>
    <row r="275" spans="2:7" x14ac:dyDescent="0.2">
      <c r="B275" s="9"/>
      <c r="C275" s="9"/>
      <c r="D275" s="9"/>
      <c r="E275" s="9"/>
      <c r="F275" s="9"/>
      <c r="G275" s="9"/>
    </row>
    <row r="276" spans="2:7" x14ac:dyDescent="0.2">
      <c r="B276" s="9"/>
      <c r="C276" s="9"/>
      <c r="D276" s="9"/>
      <c r="E276" s="9"/>
      <c r="F276" s="9"/>
      <c r="G276" s="9"/>
    </row>
    <row r="277" spans="2:7" x14ac:dyDescent="0.2">
      <c r="B277" s="9"/>
      <c r="C277" s="9"/>
      <c r="D277" s="9"/>
      <c r="E277" s="9"/>
      <c r="F277" s="9"/>
      <c r="G277" s="9"/>
    </row>
    <row r="278" spans="2:7" x14ac:dyDescent="0.2">
      <c r="B278" s="9"/>
      <c r="C278" s="9"/>
      <c r="D278" s="9"/>
      <c r="E278" s="9"/>
      <c r="F278" s="9"/>
      <c r="G278" s="9"/>
    </row>
    <row r="279" spans="2:7" x14ac:dyDescent="0.2">
      <c r="B279" s="9"/>
      <c r="C279" s="9"/>
      <c r="D279" s="9"/>
      <c r="E279" s="9"/>
      <c r="F279" s="9"/>
      <c r="G279" s="9"/>
    </row>
    <row r="280" spans="2:7" x14ac:dyDescent="0.2">
      <c r="B280" s="9"/>
      <c r="C280" s="9"/>
      <c r="D280" s="9"/>
      <c r="E280" s="9"/>
      <c r="F280" s="9"/>
      <c r="G280" s="9"/>
    </row>
    <row r="281" spans="2:7" x14ac:dyDescent="0.2">
      <c r="B281" s="9"/>
      <c r="C281" s="9"/>
      <c r="D281" s="9"/>
      <c r="E281" s="9"/>
      <c r="F281" s="9"/>
      <c r="G281" s="9"/>
    </row>
    <row r="282" spans="2:7" x14ac:dyDescent="0.2">
      <c r="B282" s="9"/>
      <c r="C282" s="9"/>
      <c r="D282" s="9"/>
      <c r="E282" s="9"/>
      <c r="F282" s="9"/>
      <c r="G282" s="9"/>
    </row>
    <row r="283" spans="2:7" x14ac:dyDescent="0.2">
      <c r="B283" s="9"/>
      <c r="C283" s="9"/>
      <c r="D283" s="9"/>
      <c r="E283" s="9"/>
      <c r="F283" s="9"/>
      <c r="G283" s="9"/>
    </row>
    <row r="284" spans="2:7" x14ac:dyDescent="0.2">
      <c r="B284" s="9"/>
      <c r="C284" s="9"/>
      <c r="D284" s="9"/>
      <c r="E284" s="9"/>
      <c r="F284" s="9"/>
      <c r="G284" s="9"/>
    </row>
    <row r="285" spans="2:7" x14ac:dyDescent="0.2">
      <c r="B285" s="9"/>
      <c r="C285" s="9"/>
      <c r="D285" s="9"/>
      <c r="E285" s="9"/>
      <c r="F285" s="9"/>
      <c r="G285" s="9"/>
    </row>
    <row r="286" spans="2:7" x14ac:dyDescent="0.2">
      <c r="B286" s="9"/>
      <c r="C286" s="9"/>
      <c r="D286" s="9"/>
      <c r="E286" s="9"/>
      <c r="F286" s="9"/>
      <c r="G286" s="9"/>
    </row>
    <row r="287" spans="2:7" x14ac:dyDescent="0.2">
      <c r="B287" s="9"/>
      <c r="C287" s="9"/>
      <c r="D287" s="9"/>
      <c r="E287" s="9"/>
      <c r="F287" s="9"/>
      <c r="G287" s="9"/>
    </row>
    <row r="288" spans="2:7" x14ac:dyDescent="0.2">
      <c r="B288" s="9"/>
      <c r="C288" s="9"/>
      <c r="D288" s="9"/>
      <c r="E288" s="9"/>
      <c r="F288" s="9"/>
      <c r="G288" s="9"/>
    </row>
    <row r="289" spans="2:7" x14ac:dyDescent="0.2">
      <c r="B289" s="9"/>
      <c r="C289" s="9"/>
      <c r="D289" s="9"/>
      <c r="E289" s="9"/>
      <c r="F289" s="9"/>
      <c r="G289" s="9"/>
    </row>
    <row r="290" spans="2:7" x14ac:dyDescent="0.2">
      <c r="B290" s="9"/>
      <c r="C290" s="9"/>
      <c r="D290" s="9"/>
      <c r="E290" s="9"/>
      <c r="F290" s="9"/>
      <c r="G290" s="9"/>
    </row>
    <row r="291" spans="2:7" x14ac:dyDescent="0.2">
      <c r="B291" s="9"/>
      <c r="C291" s="9"/>
      <c r="D291" s="9"/>
      <c r="E291" s="9"/>
      <c r="F291" s="9"/>
      <c r="G291" s="9"/>
    </row>
    <row r="292" spans="2:7" x14ac:dyDescent="0.2">
      <c r="B292" s="9"/>
      <c r="C292" s="9"/>
      <c r="D292" s="9"/>
      <c r="E292" s="9"/>
      <c r="F292" s="9"/>
      <c r="G292" s="9"/>
    </row>
    <row r="293" spans="2:7" x14ac:dyDescent="0.2">
      <c r="B293" s="9"/>
      <c r="C293" s="9"/>
      <c r="D293" s="9"/>
      <c r="E293" s="9"/>
      <c r="F293" s="9"/>
      <c r="G293" s="9"/>
    </row>
    <row r="294" spans="2:7" x14ac:dyDescent="0.2">
      <c r="B294" s="9"/>
      <c r="C294" s="9"/>
      <c r="D294" s="9"/>
      <c r="E294" s="9"/>
      <c r="F294" s="9"/>
      <c r="G294" s="9"/>
    </row>
    <row r="295" spans="2:7" x14ac:dyDescent="0.2">
      <c r="B295" s="9"/>
      <c r="C295" s="9"/>
      <c r="D295" s="9"/>
      <c r="E295" s="9"/>
      <c r="F295" s="9"/>
      <c r="G295" s="9"/>
    </row>
    <row r="296" spans="2:7" x14ac:dyDescent="0.2">
      <c r="B296" s="9"/>
      <c r="C296" s="9"/>
      <c r="D296" s="9"/>
      <c r="E296" s="9"/>
      <c r="F296" s="9"/>
      <c r="G296" s="9"/>
    </row>
    <row r="297" spans="2:7" x14ac:dyDescent="0.2">
      <c r="B297" s="9"/>
      <c r="C297" s="9"/>
      <c r="D297" s="9"/>
      <c r="E297" s="9"/>
      <c r="F297" s="9"/>
      <c r="G297" s="9"/>
    </row>
    <row r="298" spans="2:7" x14ac:dyDescent="0.2">
      <c r="B298" s="9"/>
      <c r="C298" s="9"/>
      <c r="D298" s="9"/>
      <c r="E298" s="9"/>
      <c r="F298" s="9"/>
      <c r="G298" s="9"/>
    </row>
    <row r="299" spans="2:7" x14ac:dyDescent="0.2">
      <c r="B299" s="9"/>
      <c r="C299" s="9"/>
      <c r="D299" s="9"/>
      <c r="E299" s="9"/>
      <c r="F299" s="9"/>
      <c r="G299" s="9"/>
    </row>
    <row r="300" spans="2:7" x14ac:dyDescent="0.2">
      <c r="B300" s="9"/>
      <c r="C300" s="9"/>
      <c r="D300" s="9"/>
      <c r="E300" s="9"/>
      <c r="F300" s="9"/>
      <c r="G300" s="9"/>
    </row>
    <row r="301" spans="2:7" x14ac:dyDescent="0.2">
      <c r="B301" s="9"/>
      <c r="C301" s="9"/>
      <c r="D301" s="9"/>
      <c r="E301" s="9"/>
      <c r="F301" s="9"/>
      <c r="G301" s="9"/>
    </row>
    <row r="302" spans="2:7" x14ac:dyDescent="0.2">
      <c r="B302" s="9"/>
      <c r="C302" s="9"/>
      <c r="D302" s="9"/>
      <c r="E302" s="9"/>
      <c r="F302" s="9"/>
      <c r="G302" s="9"/>
    </row>
    <row r="303" spans="2:7" x14ac:dyDescent="0.2">
      <c r="B303" s="9"/>
      <c r="C303" s="9"/>
      <c r="D303" s="9"/>
      <c r="E303" s="9"/>
      <c r="F303" s="9"/>
      <c r="G303" s="9"/>
    </row>
    <row r="304" spans="2:7" x14ac:dyDescent="0.2">
      <c r="B304" s="9"/>
      <c r="C304" s="9"/>
      <c r="D304" s="9"/>
      <c r="E304" s="9"/>
      <c r="F304" s="9"/>
      <c r="G304" s="9"/>
    </row>
    <row r="305" spans="2:7" x14ac:dyDescent="0.2">
      <c r="B305" s="9"/>
      <c r="C305" s="9"/>
      <c r="D305" s="9"/>
      <c r="E305" s="9"/>
      <c r="F305" s="9"/>
      <c r="G305" s="9"/>
    </row>
    <row r="306" spans="2:7" x14ac:dyDescent="0.2">
      <c r="B306" s="9"/>
      <c r="C306" s="9"/>
      <c r="D306" s="9"/>
      <c r="E306" s="9"/>
      <c r="F306" s="9"/>
      <c r="G306" s="9"/>
    </row>
    <row r="307" spans="2:7" x14ac:dyDescent="0.2">
      <c r="B307" s="9"/>
      <c r="C307" s="9"/>
      <c r="D307" s="9"/>
      <c r="E307" s="9"/>
      <c r="F307" s="9"/>
      <c r="G307" s="9"/>
    </row>
    <row r="308" spans="2:7" x14ac:dyDescent="0.2">
      <c r="B308" s="9"/>
      <c r="C308" s="9"/>
      <c r="D308" s="9"/>
      <c r="E308" s="9"/>
      <c r="F308" s="9"/>
      <c r="G308" s="9"/>
    </row>
    <row r="309" spans="2:7" x14ac:dyDescent="0.2">
      <c r="B309" s="9"/>
      <c r="C309" s="9"/>
      <c r="D309" s="9"/>
      <c r="E309" s="9"/>
      <c r="F309" s="9"/>
      <c r="G309" s="9"/>
    </row>
    <row r="310" spans="2:7" x14ac:dyDescent="0.2">
      <c r="B310" s="9"/>
      <c r="C310" s="9"/>
      <c r="D310" s="9"/>
      <c r="E310" s="9"/>
      <c r="F310" s="9"/>
      <c r="G310" s="9"/>
    </row>
    <row r="311" spans="2:7" x14ac:dyDescent="0.2">
      <c r="B311" s="9"/>
      <c r="C311" s="9"/>
      <c r="D311" s="9"/>
      <c r="E311" s="9"/>
      <c r="F311" s="9"/>
      <c r="G311" s="9"/>
    </row>
    <row r="312" spans="2:7" x14ac:dyDescent="0.2">
      <c r="B312" s="9"/>
      <c r="C312" s="9"/>
      <c r="D312" s="9"/>
      <c r="E312" s="9"/>
      <c r="F312" s="9"/>
      <c r="G312" s="9"/>
    </row>
    <row r="313" spans="2:7" x14ac:dyDescent="0.2">
      <c r="B313" s="9"/>
      <c r="C313" s="9"/>
      <c r="D313" s="9"/>
      <c r="E313" s="9"/>
      <c r="F313" s="9"/>
      <c r="G313" s="9"/>
    </row>
    <row r="314" spans="2:7" x14ac:dyDescent="0.2">
      <c r="B314" s="9"/>
      <c r="C314" s="9"/>
      <c r="D314" s="9"/>
      <c r="E314" s="9"/>
      <c r="F314" s="9"/>
      <c r="G314" s="9"/>
    </row>
    <row r="315" spans="2:7" x14ac:dyDescent="0.2">
      <c r="B315" s="9"/>
      <c r="C315" s="9"/>
      <c r="D315" s="9"/>
      <c r="E315" s="9"/>
      <c r="F315" s="9"/>
      <c r="G315" s="9"/>
    </row>
    <row r="316" spans="2:7" x14ac:dyDescent="0.2">
      <c r="B316" s="9"/>
      <c r="C316" s="9"/>
      <c r="D316" s="9"/>
      <c r="E316" s="9"/>
      <c r="F316" s="9"/>
      <c r="G316" s="9"/>
    </row>
    <row r="317" spans="2:7" x14ac:dyDescent="0.2">
      <c r="B317" s="9"/>
      <c r="C317" s="9"/>
      <c r="D317" s="9"/>
      <c r="E317" s="9"/>
      <c r="F317" s="9"/>
      <c r="G317" s="9"/>
    </row>
    <row r="318" spans="2:7" x14ac:dyDescent="0.2">
      <c r="B318" s="9"/>
      <c r="C318" s="9"/>
      <c r="D318" s="9"/>
      <c r="E318" s="9"/>
      <c r="F318" s="9"/>
      <c r="G318" s="9"/>
    </row>
    <row r="319" spans="2:7" x14ac:dyDescent="0.2">
      <c r="B319" s="9"/>
      <c r="C319" s="9"/>
      <c r="D319" s="9"/>
      <c r="E319" s="9"/>
      <c r="F319" s="9"/>
      <c r="G319" s="9"/>
    </row>
    <row r="320" spans="2:7" x14ac:dyDescent="0.2">
      <c r="B320" s="9"/>
      <c r="C320" s="9"/>
      <c r="D320" s="9"/>
      <c r="E320" s="9"/>
      <c r="F320" s="9"/>
      <c r="G320" s="9"/>
    </row>
    <row r="321" spans="2:7" x14ac:dyDescent="0.2">
      <c r="B321" s="9"/>
      <c r="C321" s="9"/>
      <c r="D321" s="9"/>
      <c r="E321" s="9"/>
      <c r="F321" s="9"/>
      <c r="G321" s="9"/>
    </row>
    <row r="322" spans="2:7" x14ac:dyDescent="0.2">
      <c r="B322" s="9"/>
      <c r="C322" s="9"/>
      <c r="D322" s="9"/>
      <c r="E322" s="9"/>
      <c r="F322" s="9"/>
      <c r="G322" s="9"/>
    </row>
    <row r="323" spans="2:7" x14ac:dyDescent="0.2">
      <c r="B323" s="9"/>
      <c r="C323" s="9"/>
      <c r="D323" s="9"/>
      <c r="E323" s="9"/>
      <c r="F323" s="9"/>
      <c r="G323" s="9"/>
    </row>
    <row r="324" spans="2:7" x14ac:dyDescent="0.2">
      <c r="B324" s="9"/>
      <c r="C324" s="9"/>
      <c r="D324" s="9"/>
      <c r="E324" s="9"/>
      <c r="F324" s="9"/>
      <c r="G324" s="9"/>
    </row>
    <row r="325" spans="2:7" x14ac:dyDescent="0.2">
      <c r="B325" s="9"/>
      <c r="C325" s="9"/>
      <c r="D325" s="9"/>
      <c r="E325" s="9"/>
      <c r="F325" s="9"/>
      <c r="G325" s="9"/>
    </row>
    <row r="326" spans="2:7" x14ac:dyDescent="0.2">
      <c r="B326" s="9"/>
      <c r="C326" s="9"/>
      <c r="D326" s="9"/>
      <c r="E326" s="9"/>
      <c r="F326" s="9"/>
      <c r="G326" s="9"/>
    </row>
    <row r="327" spans="2:7" x14ac:dyDescent="0.2">
      <c r="B327" s="9"/>
      <c r="C327" s="9"/>
      <c r="D327" s="9"/>
      <c r="E327" s="9"/>
      <c r="F327" s="9"/>
      <c r="G327" s="9"/>
    </row>
    <row r="328" spans="2:7" x14ac:dyDescent="0.2">
      <c r="B328" s="9"/>
      <c r="C328" s="9"/>
      <c r="D328" s="9"/>
      <c r="E328" s="9"/>
      <c r="F328" s="9"/>
      <c r="G328" s="9"/>
    </row>
    <row r="329" spans="2:7" x14ac:dyDescent="0.2">
      <c r="B329" s="9"/>
      <c r="C329" s="9"/>
      <c r="D329" s="9"/>
      <c r="E329" s="9"/>
      <c r="F329" s="9"/>
      <c r="G329" s="9"/>
    </row>
    <row r="330" spans="2:7" x14ac:dyDescent="0.2">
      <c r="B330" s="9"/>
      <c r="C330" s="9"/>
      <c r="D330" s="9"/>
      <c r="E330" s="9"/>
      <c r="F330" s="9"/>
      <c r="G330" s="9"/>
    </row>
    <row r="331" spans="2:7" x14ac:dyDescent="0.2">
      <c r="B331" s="9"/>
      <c r="C331" s="9"/>
      <c r="D331" s="9"/>
      <c r="E331" s="9"/>
      <c r="F331" s="9"/>
      <c r="G331" s="9"/>
    </row>
    <row r="332" spans="2:7" x14ac:dyDescent="0.2">
      <c r="B332" s="9"/>
      <c r="C332" s="9"/>
      <c r="D332" s="9"/>
      <c r="E332" s="9"/>
      <c r="F332" s="9"/>
      <c r="G332" s="9"/>
    </row>
    <row r="333" spans="2:7" x14ac:dyDescent="0.2">
      <c r="B333" s="9"/>
      <c r="C333" s="9"/>
      <c r="D333" s="9"/>
      <c r="E333" s="9"/>
      <c r="F333" s="9"/>
      <c r="G333" s="9"/>
    </row>
    <row r="334" spans="2:7" x14ac:dyDescent="0.2">
      <c r="B334" s="9"/>
      <c r="C334" s="9"/>
      <c r="D334" s="9"/>
      <c r="E334" s="9"/>
      <c r="F334" s="9"/>
      <c r="G334" s="9"/>
    </row>
    <row r="335" spans="2:7" x14ac:dyDescent="0.2">
      <c r="B335" s="9"/>
      <c r="C335" s="9"/>
      <c r="D335" s="9"/>
      <c r="E335" s="9"/>
      <c r="F335" s="9"/>
      <c r="G335" s="9"/>
    </row>
    <row r="336" spans="2:7" x14ac:dyDescent="0.2">
      <c r="B336" s="9"/>
      <c r="C336" s="9"/>
      <c r="D336" s="9"/>
      <c r="E336" s="9"/>
      <c r="F336" s="9"/>
      <c r="G336" s="9"/>
    </row>
    <row r="337" spans="2:7" x14ac:dyDescent="0.2">
      <c r="B337" s="9"/>
      <c r="C337" s="9"/>
      <c r="D337" s="9"/>
      <c r="E337" s="9"/>
      <c r="F337" s="9"/>
      <c r="G337" s="9"/>
    </row>
    <row r="338" spans="2:7" x14ac:dyDescent="0.2">
      <c r="B338" s="9"/>
      <c r="C338" s="9"/>
      <c r="D338" s="9"/>
      <c r="E338" s="9"/>
      <c r="F338" s="9"/>
      <c r="G338" s="9"/>
    </row>
    <row r="339" spans="2:7" x14ac:dyDescent="0.2">
      <c r="B339" s="9"/>
      <c r="C339" s="9"/>
      <c r="D339" s="9"/>
      <c r="E339" s="9"/>
      <c r="F339" s="9"/>
      <c r="G339" s="9"/>
    </row>
    <row r="340" spans="2:7" x14ac:dyDescent="0.2">
      <c r="B340" s="9"/>
      <c r="C340" s="9"/>
      <c r="D340" s="9"/>
      <c r="E340" s="9"/>
      <c r="F340" s="9"/>
      <c r="G340" s="9"/>
    </row>
    <row r="341" spans="2:7" x14ac:dyDescent="0.2">
      <c r="B341" s="9"/>
      <c r="C341" s="9"/>
      <c r="D341" s="9"/>
      <c r="E341" s="9"/>
      <c r="F341" s="9"/>
      <c r="G341" s="9"/>
    </row>
    <row r="342" spans="2:7" x14ac:dyDescent="0.2">
      <c r="B342" s="9"/>
      <c r="C342" s="9"/>
      <c r="D342" s="9"/>
      <c r="E342" s="9"/>
      <c r="F342" s="9"/>
      <c r="G342" s="9"/>
    </row>
    <row r="343" spans="2:7" x14ac:dyDescent="0.2">
      <c r="B343" s="9"/>
      <c r="C343" s="9"/>
      <c r="D343" s="9"/>
      <c r="E343" s="9"/>
      <c r="F343" s="9"/>
      <c r="G343" s="9"/>
    </row>
    <row r="344" spans="2:7" x14ac:dyDescent="0.2">
      <c r="B344" s="9"/>
      <c r="C344" s="9"/>
      <c r="D344" s="9"/>
      <c r="E344" s="9"/>
      <c r="F344" s="9"/>
      <c r="G344" s="9"/>
    </row>
    <row r="345" spans="2:7" x14ac:dyDescent="0.2">
      <c r="B345" s="9"/>
      <c r="C345" s="9"/>
      <c r="D345" s="9"/>
      <c r="E345" s="9"/>
      <c r="F345" s="9"/>
      <c r="G345" s="9"/>
    </row>
    <row r="346" spans="2:7" x14ac:dyDescent="0.2">
      <c r="B346" s="9"/>
      <c r="C346" s="9"/>
      <c r="D346" s="9"/>
      <c r="E346" s="9"/>
      <c r="F346" s="9"/>
      <c r="G346" s="9"/>
    </row>
    <row r="347" spans="2:7" x14ac:dyDescent="0.2">
      <c r="B347" s="9"/>
      <c r="C347" s="9"/>
      <c r="D347" s="9"/>
      <c r="E347" s="9"/>
      <c r="F347" s="9"/>
      <c r="G347" s="9"/>
    </row>
    <row r="348" spans="2:7" x14ac:dyDescent="0.2">
      <c r="B348" s="9"/>
      <c r="C348" s="9"/>
      <c r="D348" s="9"/>
      <c r="E348" s="9"/>
      <c r="F348" s="9"/>
      <c r="G348" s="9"/>
    </row>
    <row r="349" spans="2:7" x14ac:dyDescent="0.2">
      <c r="B349" s="9"/>
      <c r="C349" s="9"/>
      <c r="D349" s="9"/>
      <c r="E349" s="9"/>
      <c r="F349" s="9"/>
      <c r="G349" s="9"/>
    </row>
    <row r="350" spans="2:7" x14ac:dyDescent="0.2">
      <c r="B350" s="9"/>
      <c r="C350" s="9"/>
      <c r="D350" s="9"/>
      <c r="E350" s="9"/>
      <c r="F350" s="9"/>
      <c r="G350" s="9"/>
    </row>
    <row r="351" spans="2:7" x14ac:dyDescent="0.2">
      <c r="B351" s="9"/>
      <c r="C351" s="9"/>
      <c r="D351" s="9"/>
      <c r="E351" s="9"/>
      <c r="F351" s="9"/>
      <c r="G351" s="9"/>
    </row>
    <row r="352" spans="2:7" x14ac:dyDescent="0.2">
      <c r="B352" s="9"/>
      <c r="C352" s="9"/>
      <c r="D352" s="9"/>
      <c r="E352" s="9"/>
      <c r="F352" s="9"/>
      <c r="G352" s="9"/>
    </row>
    <row r="353" spans="2:7" x14ac:dyDescent="0.2">
      <c r="B353" s="9"/>
      <c r="C353" s="9"/>
      <c r="D353" s="9"/>
      <c r="E353" s="9"/>
      <c r="F353" s="9"/>
      <c r="G353" s="9"/>
    </row>
    <row r="354" spans="2:7" x14ac:dyDescent="0.2">
      <c r="B354" s="9"/>
      <c r="C354" s="9"/>
      <c r="D354" s="9"/>
      <c r="E354" s="9"/>
      <c r="F354" s="9"/>
      <c r="G354" s="9"/>
    </row>
    <row r="355" spans="2:7" x14ac:dyDescent="0.2">
      <c r="B355" s="9"/>
      <c r="C355" s="9"/>
      <c r="D355" s="9"/>
      <c r="E355" s="9"/>
      <c r="F355" s="9"/>
      <c r="G355" s="9"/>
    </row>
    <row r="356" spans="2:7" x14ac:dyDescent="0.2">
      <c r="B356" s="9"/>
      <c r="C356" s="9"/>
      <c r="D356" s="9"/>
      <c r="E356" s="9"/>
      <c r="F356" s="9"/>
      <c r="G356" s="9"/>
    </row>
    <row r="357" spans="2:7" x14ac:dyDescent="0.2">
      <c r="B357" s="9"/>
      <c r="C357" s="9"/>
      <c r="D357" s="9"/>
      <c r="E357" s="9"/>
      <c r="F357" s="9"/>
      <c r="G357" s="9"/>
    </row>
    <row r="358" spans="2:7" x14ac:dyDescent="0.2">
      <c r="B358" s="9"/>
      <c r="C358" s="9"/>
      <c r="D358" s="9"/>
      <c r="E358" s="9"/>
      <c r="F358" s="9"/>
      <c r="G358" s="9"/>
    </row>
    <row r="359" spans="2:7" x14ac:dyDescent="0.2">
      <c r="B359" s="9"/>
      <c r="C359" s="9"/>
      <c r="D359" s="9"/>
      <c r="E359" s="9"/>
      <c r="F359" s="9"/>
      <c r="G359" s="9"/>
    </row>
    <row r="360" spans="2:7" x14ac:dyDescent="0.2">
      <c r="B360" s="9"/>
      <c r="C360" s="9"/>
      <c r="D360" s="9"/>
      <c r="E360" s="9"/>
      <c r="F360" s="9"/>
      <c r="G360" s="9"/>
    </row>
    <row r="361" spans="2:7" x14ac:dyDescent="0.2">
      <c r="B361" s="9"/>
      <c r="C361" s="9"/>
      <c r="D361" s="9"/>
      <c r="E361" s="9"/>
      <c r="F361" s="9"/>
      <c r="G361" s="9"/>
    </row>
    <row r="362" spans="2:7" x14ac:dyDescent="0.2">
      <c r="B362" s="9"/>
      <c r="C362" s="9"/>
      <c r="D362" s="9"/>
      <c r="E362" s="9"/>
      <c r="F362" s="9"/>
      <c r="G362" s="9"/>
    </row>
    <row r="363" spans="2:7" x14ac:dyDescent="0.2">
      <c r="B363" s="9"/>
      <c r="C363" s="9"/>
      <c r="D363" s="9"/>
      <c r="E363" s="9"/>
      <c r="F363" s="9"/>
      <c r="G363" s="9"/>
    </row>
    <row r="364" spans="2:7" x14ac:dyDescent="0.2">
      <c r="B364" s="9"/>
      <c r="C364" s="9"/>
      <c r="D364" s="9"/>
      <c r="E364" s="9"/>
      <c r="F364" s="9"/>
      <c r="G364" s="9"/>
    </row>
    <row r="365" spans="2:7" x14ac:dyDescent="0.2">
      <c r="B365" s="9"/>
      <c r="C365" s="9"/>
      <c r="D365" s="9"/>
      <c r="E365" s="9"/>
      <c r="F365" s="9"/>
      <c r="G365" s="9"/>
    </row>
    <row r="366" spans="2:7" x14ac:dyDescent="0.2">
      <c r="B366" s="9"/>
      <c r="C366" s="9"/>
      <c r="D366" s="9"/>
      <c r="E366" s="9"/>
      <c r="F366" s="9"/>
      <c r="G366" s="9"/>
    </row>
    <row r="367" spans="2:7" x14ac:dyDescent="0.2">
      <c r="B367" s="9"/>
      <c r="C367" s="9"/>
      <c r="D367" s="9"/>
      <c r="E367" s="9"/>
      <c r="F367" s="9"/>
      <c r="G367" s="9"/>
    </row>
    <row r="368" spans="2:7" x14ac:dyDescent="0.2">
      <c r="B368" s="9"/>
      <c r="C368" s="9"/>
      <c r="D368" s="9"/>
      <c r="E368" s="9"/>
      <c r="F368" s="9"/>
      <c r="G368" s="9"/>
    </row>
    <row r="369" spans="2:7" x14ac:dyDescent="0.2">
      <c r="B369" s="9"/>
      <c r="C369" s="9"/>
      <c r="D369" s="9"/>
      <c r="E369" s="9"/>
      <c r="F369" s="9"/>
      <c r="G369" s="9"/>
    </row>
    <row r="370" spans="2:7" x14ac:dyDescent="0.2">
      <c r="B370" s="9"/>
      <c r="C370" s="9"/>
      <c r="D370" s="9"/>
      <c r="E370" s="9"/>
      <c r="F370" s="9"/>
      <c r="G370" s="9"/>
    </row>
    <row r="371" spans="2:7" x14ac:dyDescent="0.2">
      <c r="B371" s="9"/>
      <c r="C371" s="9"/>
      <c r="D371" s="9"/>
      <c r="E371" s="9"/>
      <c r="F371" s="9"/>
      <c r="G371" s="9"/>
    </row>
    <row r="372" spans="2:7" x14ac:dyDescent="0.2">
      <c r="B372" s="9"/>
      <c r="C372" s="9"/>
      <c r="D372" s="9"/>
      <c r="E372" s="9"/>
      <c r="F372" s="9"/>
      <c r="G372" s="9"/>
    </row>
    <row r="373" spans="2:7" x14ac:dyDescent="0.2">
      <c r="B373" s="9"/>
      <c r="C373" s="9"/>
      <c r="D373" s="9"/>
      <c r="E373" s="9"/>
      <c r="F373" s="9"/>
      <c r="G373" s="9"/>
    </row>
    <row r="374" spans="2:7" x14ac:dyDescent="0.2">
      <c r="B374" s="9"/>
      <c r="C374" s="9"/>
      <c r="D374" s="9"/>
      <c r="E374" s="9"/>
      <c r="F374" s="9"/>
      <c r="G374" s="9"/>
    </row>
    <row r="375" spans="2:7" x14ac:dyDescent="0.2">
      <c r="B375" s="9"/>
      <c r="C375" s="9"/>
      <c r="D375" s="9"/>
      <c r="E375" s="9"/>
      <c r="F375" s="9"/>
      <c r="G375" s="9"/>
    </row>
    <row r="376" spans="2:7" x14ac:dyDescent="0.2">
      <c r="B376" s="9"/>
      <c r="C376" s="9"/>
      <c r="D376" s="9"/>
      <c r="E376" s="9"/>
      <c r="F376" s="9"/>
      <c r="G376" s="9"/>
    </row>
    <row r="377" spans="2:7" x14ac:dyDescent="0.2">
      <c r="B377" s="9"/>
      <c r="C377" s="9"/>
      <c r="D377" s="9"/>
      <c r="E377" s="9"/>
      <c r="F377" s="9"/>
      <c r="G377" s="9"/>
    </row>
    <row r="378" spans="2:7" x14ac:dyDescent="0.2">
      <c r="B378" s="9"/>
      <c r="C378" s="9"/>
      <c r="D378" s="9"/>
      <c r="E378" s="9"/>
      <c r="F378" s="9"/>
      <c r="G378" s="9"/>
    </row>
    <row r="379" spans="2:7" x14ac:dyDescent="0.2">
      <c r="B379" s="9"/>
      <c r="C379" s="9"/>
      <c r="D379" s="9"/>
      <c r="E379" s="9"/>
      <c r="F379" s="9"/>
      <c r="G379" s="9"/>
    </row>
    <row r="380" spans="2:7" x14ac:dyDescent="0.2">
      <c r="B380" s="9"/>
      <c r="C380" s="9"/>
      <c r="D380" s="9"/>
      <c r="E380" s="9"/>
      <c r="F380" s="9"/>
      <c r="G380" s="9"/>
    </row>
    <row r="381" spans="2:7" x14ac:dyDescent="0.2">
      <c r="B381" s="9"/>
      <c r="C381" s="9"/>
      <c r="D381" s="9"/>
      <c r="E381" s="9"/>
      <c r="F381" s="9"/>
      <c r="G381" s="9"/>
    </row>
    <row r="382" spans="2:7" x14ac:dyDescent="0.2">
      <c r="B382" s="9"/>
      <c r="C382" s="9"/>
      <c r="D382" s="9"/>
      <c r="E382" s="9"/>
      <c r="F382" s="9"/>
      <c r="G382" s="9"/>
    </row>
    <row r="383" spans="2:7" x14ac:dyDescent="0.2">
      <c r="B383" s="9"/>
      <c r="C383" s="9"/>
      <c r="D383" s="9"/>
      <c r="E383" s="9"/>
      <c r="F383" s="9"/>
      <c r="G383" s="9"/>
    </row>
    <row r="384" spans="2:7" x14ac:dyDescent="0.2">
      <c r="B384" s="9"/>
      <c r="C384" s="9"/>
      <c r="D384" s="9"/>
      <c r="E384" s="9"/>
      <c r="F384" s="9"/>
      <c r="G384" s="9"/>
    </row>
    <row r="385" spans="2:7" x14ac:dyDescent="0.2">
      <c r="B385" s="9"/>
      <c r="C385" s="9"/>
      <c r="D385" s="9"/>
      <c r="E385" s="9"/>
      <c r="F385" s="9"/>
      <c r="G385" s="9"/>
    </row>
    <row r="386" spans="2:7" x14ac:dyDescent="0.2">
      <c r="B386" s="9"/>
      <c r="C386" s="9"/>
      <c r="D386" s="9"/>
      <c r="E386" s="9"/>
      <c r="F386" s="9"/>
      <c r="G386" s="9"/>
    </row>
    <row r="387" spans="2:7" x14ac:dyDescent="0.2">
      <c r="B387" s="9"/>
      <c r="C387" s="9"/>
      <c r="D387" s="9"/>
      <c r="E387" s="9"/>
      <c r="F387" s="9"/>
      <c r="G387" s="9"/>
    </row>
    <row r="388" spans="2:7" x14ac:dyDescent="0.2">
      <c r="B388" s="9"/>
      <c r="C388" s="9"/>
      <c r="D388" s="9"/>
      <c r="E388" s="9"/>
      <c r="F388" s="9"/>
      <c r="G388" s="9"/>
    </row>
    <row r="389" spans="2:7" x14ac:dyDescent="0.2">
      <c r="B389" s="9"/>
      <c r="C389" s="9"/>
      <c r="D389" s="9"/>
      <c r="E389" s="9"/>
      <c r="F389" s="9"/>
      <c r="G389" s="9"/>
    </row>
    <row r="390" spans="2:7" x14ac:dyDescent="0.2">
      <c r="B390" s="9"/>
      <c r="C390" s="9"/>
      <c r="D390" s="9"/>
      <c r="E390" s="9"/>
      <c r="F390" s="9"/>
      <c r="G390" s="9"/>
    </row>
    <row r="391" spans="2:7" x14ac:dyDescent="0.2">
      <c r="B391" s="9"/>
      <c r="C391" s="9"/>
      <c r="D391" s="9"/>
      <c r="E391" s="9"/>
      <c r="F391" s="9"/>
      <c r="G391" s="9"/>
    </row>
    <row r="392" spans="2:7" x14ac:dyDescent="0.2">
      <c r="B392" s="9"/>
      <c r="C392" s="9"/>
      <c r="D392" s="9"/>
      <c r="E392" s="9"/>
      <c r="F392" s="9"/>
      <c r="G392" s="9"/>
    </row>
    <row r="393" spans="2:7" x14ac:dyDescent="0.2">
      <c r="B393" s="9"/>
      <c r="C393" s="9"/>
      <c r="D393" s="9"/>
      <c r="E393" s="9"/>
      <c r="F393" s="9"/>
      <c r="G393" s="9"/>
    </row>
    <row r="394" spans="2:7" x14ac:dyDescent="0.2">
      <c r="B394" s="9"/>
      <c r="C394" s="9"/>
      <c r="D394" s="9"/>
      <c r="E394" s="9"/>
      <c r="F394" s="9"/>
      <c r="G394" s="9"/>
    </row>
    <row r="395" spans="2:7" x14ac:dyDescent="0.2">
      <c r="B395" s="9"/>
      <c r="C395" s="9"/>
      <c r="D395" s="9"/>
      <c r="E395" s="9"/>
      <c r="F395" s="9"/>
      <c r="G395" s="9"/>
    </row>
    <row r="396" spans="2:7" x14ac:dyDescent="0.2">
      <c r="B396" s="9"/>
      <c r="C396" s="9"/>
      <c r="D396" s="9"/>
      <c r="E396" s="9"/>
      <c r="F396" s="9"/>
      <c r="G396" s="9"/>
    </row>
    <row r="397" spans="2:7" x14ac:dyDescent="0.2">
      <c r="B397" s="9"/>
      <c r="C397" s="9"/>
      <c r="D397" s="9"/>
      <c r="E397" s="9"/>
      <c r="F397" s="9"/>
      <c r="G397" s="9"/>
    </row>
    <row r="398" spans="2:7" x14ac:dyDescent="0.2">
      <c r="B398" s="9"/>
      <c r="C398" s="9"/>
      <c r="D398" s="9"/>
      <c r="E398" s="9"/>
      <c r="F398" s="9"/>
      <c r="G398" s="9"/>
    </row>
    <row r="399" spans="2:7" x14ac:dyDescent="0.2">
      <c r="B399" s="9"/>
      <c r="C399" s="9"/>
      <c r="D399" s="9"/>
      <c r="E399" s="9"/>
      <c r="F399" s="9"/>
      <c r="G399" s="9"/>
    </row>
    <row r="400" spans="2:7" x14ac:dyDescent="0.2">
      <c r="B400" s="9"/>
      <c r="C400" s="9"/>
      <c r="D400" s="9"/>
      <c r="E400" s="9"/>
      <c r="F400" s="9"/>
      <c r="G400" s="9"/>
    </row>
    <row r="401" spans="2:7" x14ac:dyDescent="0.2">
      <c r="B401" s="9"/>
      <c r="C401" s="9"/>
      <c r="D401" s="9"/>
      <c r="E401" s="9"/>
      <c r="F401" s="9"/>
      <c r="G401" s="9"/>
    </row>
    <row r="402" spans="2:7" x14ac:dyDescent="0.2">
      <c r="B402" s="9"/>
      <c r="C402" s="9"/>
      <c r="D402" s="9"/>
      <c r="E402" s="9"/>
      <c r="F402" s="9"/>
      <c r="G402" s="9"/>
    </row>
    <row r="403" spans="2:7" x14ac:dyDescent="0.2">
      <c r="B403" s="9"/>
      <c r="C403" s="9"/>
      <c r="D403" s="9"/>
      <c r="E403" s="9"/>
      <c r="F403" s="9"/>
      <c r="G403" s="9"/>
    </row>
    <row r="404" spans="2:7" x14ac:dyDescent="0.2">
      <c r="B404" s="9"/>
      <c r="C404" s="9"/>
      <c r="D404" s="9"/>
      <c r="E404" s="9"/>
      <c r="F404" s="9"/>
      <c r="G404" s="9"/>
    </row>
    <row r="405" spans="2:7" x14ac:dyDescent="0.2">
      <c r="B405" s="9"/>
      <c r="C405" s="9"/>
      <c r="D405" s="9"/>
      <c r="E405" s="9"/>
      <c r="F405" s="9"/>
      <c r="G405" s="9"/>
    </row>
    <row r="406" spans="2:7" x14ac:dyDescent="0.2">
      <c r="B406" s="9"/>
      <c r="C406" s="9"/>
      <c r="D406" s="9"/>
      <c r="E406" s="9"/>
      <c r="F406" s="9"/>
      <c r="G406" s="9"/>
    </row>
    <row r="407" spans="2:7" x14ac:dyDescent="0.2">
      <c r="B407" s="9"/>
      <c r="C407" s="9"/>
      <c r="D407" s="9"/>
      <c r="E407" s="9"/>
      <c r="F407" s="9"/>
      <c r="G407" s="9"/>
    </row>
    <row r="408" spans="2:7" x14ac:dyDescent="0.2">
      <c r="B408" s="9"/>
      <c r="C408" s="9"/>
      <c r="D408" s="9"/>
      <c r="E408" s="9"/>
      <c r="F408" s="9"/>
      <c r="G408" s="9"/>
    </row>
    <row r="409" spans="2:7" x14ac:dyDescent="0.2">
      <c r="B409" s="9"/>
      <c r="C409" s="9"/>
      <c r="D409" s="9"/>
      <c r="E409" s="9"/>
      <c r="F409" s="9"/>
      <c r="G409" s="9"/>
    </row>
    <row r="410" spans="2:7" x14ac:dyDescent="0.2">
      <c r="B410" s="9"/>
      <c r="C410" s="9"/>
      <c r="D410" s="9"/>
      <c r="E410" s="9"/>
      <c r="F410" s="9"/>
      <c r="G410" s="9"/>
    </row>
    <row r="411" spans="2:7" x14ac:dyDescent="0.2">
      <c r="B411" s="9"/>
      <c r="C411" s="9"/>
      <c r="D411" s="9"/>
      <c r="E411" s="9"/>
      <c r="F411" s="9"/>
      <c r="G411" s="9"/>
    </row>
    <row r="412" spans="2:7" x14ac:dyDescent="0.2">
      <c r="B412" s="9"/>
      <c r="C412" s="9"/>
      <c r="D412" s="9"/>
      <c r="E412" s="9"/>
      <c r="F412" s="9"/>
      <c r="G412" s="9"/>
    </row>
    <row r="413" spans="2:7" x14ac:dyDescent="0.2">
      <c r="B413" s="9"/>
      <c r="C413" s="9"/>
      <c r="D413" s="9"/>
      <c r="E413" s="9"/>
      <c r="F413" s="9"/>
      <c r="G413" s="9"/>
    </row>
    <row r="414" spans="2:7" x14ac:dyDescent="0.2">
      <c r="B414" s="9"/>
      <c r="C414" s="9"/>
      <c r="D414" s="9"/>
      <c r="E414" s="9"/>
      <c r="F414" s="9"/>
      <c r="G414" s="9"/>
    </row>
    <row r="415" spans="2:7" x14ac:dyDescent="0.2">
      <c r="B415" s="9"/>
      <c r="C415" s="9"/>
      <c r="D415" s="9"/>
      <c r="E415" s="9"/>
      <c r="F415" s="9"/>
      <c r="G415" s="9"/>
    </row>
    <row r="416" spans="2:7" x14ac:dyDescent="0.2">
      <c r="B416" s="9"/>
      <c r="C416" s="9"/>
      <c r="D416" s="9"/>
      <c r="E416" s="9"/>
      <c r="F416" s="9"/>
      <c r="G416" s="9"/>
    </row>
    <row r="417" spans="2:7" x14ac:dyDescent="0.2">
      <c r="B417" s="9"/>
      <c r="C417" s="9"/>
      <c r="D417" s="9"/>
      <c r="E417" s="9"/>
      <c r="F417" s="9"/>
      <c r="G417" s="9"/>
    </row>
    <row r="418" spans="2:7" x14ac:dyDescent="0.2">
      <c r="B418" s="9"/>
      <c r="C418" s="9"/>
      <c r="D418" s="9"/>
      <c r="E418" s="9"/>
      <c r="F418" s="9"/>
      <c r="G418" s="9"/>
    </row>
    <row r="419" spans="2:7" x14ac:dyDescent="0.2">
      <c r="B419" s="9"/>
      <c r="C419" s="9"/>
      <c r="D419" s="9"/>
      <c r="E419" s="9"/>
      <c r="F419" s="9"/>
      <c r="G419" s="9"/>
    </row>
    <row r="420" spans="2:7" x14ac:dyDescent="0.2">
      <c r="B420" s="9"/>
      <c r="C420" s="9"/>
      <c r="D420" s="9"/>
      <c r="E420" s="9"/>
      <c r="F420" s="9"/>
      <c r="G420" s="9"/>
    </row>
    <row r="421" spans="2:7" x14ac:dyDescent="0.2">
      <c r="B421" s="9"/>
      <c r="C421" s="9"/>
      <c r="D421" s="9"/>
      <c r="E421" s="9"/>
      <c r="F421" s="9"/>
      <c r="G421" s="9"/>
    </row>
    <row r="422" spans="2:7" x14ac:dyDescent="0.2">
      <c r="B422" s="9"/>
      <c r="C422" s="9"/>
      <c r="D422" s="9"/>
      <c r="E422" s="9"/>
      <c r="F422" s="9"/>
      <c r="G422" s="9"/>
    </row>
    <row r="423" spans="2:7" x14ac:dyDescent="0.2">
      <c r="B423" s="9"/>
      <c r="C423" s="9"/>
      <c r="D423" s="9"/>
      <c r="E423" s="9"/>
      <c r="F423" s="9"/>
      <c r="G423" s="9"/>
    </row>
    <row r="424" spans="2:7" x14ac:dyDescent="0.2">
      <c r="B424" s="9"/>
      <c r="C424" s="9"/>
      <c r="D424" s="9"/>
      <c r="E424" s="9"/>
      <c r="F424" s="9"/>
      <c r="G424" s="9"/>
    </row>
    <row r="425" spans="2:7" x14ac:dyDescent="0.2">
      <c r="B425" s="9"/>
      <c r="C425" s="9"/>
      <c r="D425" s="9"/>
      <c r="E425" s="9"/>
      <c r="F425" s="9"/>
      <c r="G425" s="9"/>
    </row>
    <row r="426" spans="2:7" x14ac:dyDescent="0.2">
      <c r="B426" s="9"/>
      <c r="C426" s="9"/>
      <c r="D426" s="9"/>
      <c r="E426" s="9"/>
      <c r="F426" s="9"/>
      <c r="G426" s="9"/>
    </row>
    <row r="427" spans="2:7" x14ac:dyDescent="0.2">
      <c r="B427" s="9"/>
      <c r="C427" s="9"/>
      <c r="D427" s="9"/>
      <c r="E427" s="9"/>
      <c r="F427" s="9"/>
      <c r="G427" s="9"/>
    </row>
    <row r="428" spans="2:7" x14ac:dyDescent="0.2">
      <c r="B428" s="9"/>
      <c r="C428" s="9"/>
      <c r="D428" s="9"/>
      <c r="E428" s="9"/>
      <c r="F428" s="9"/>
      <c r="G428" s="9"/>
    </row>
    <row r="429" spans="2:7" x14ac:dyDescent="0.2">
      <c r="B429" s="9"/>
      <c r="C429" s="9"/>
      <c r="D429" s="9"/>
      <c r="E429" s="9"/>
      <c r="F429" s="9"/>
      <c r="G429" s="9"/>
    </row>
    <row r="430" spans="2:7" x14ac:dyDescent="0.2">
      <c r="B430" s="9"/>
      <c r="C430" s="9"/>
      <c r="D430" s="9"/>
      <c r="E430" s="9"/>
      <c r="F430" s="9"/>
      <c r="G430" s="9"/>
    </row>
    <row r="431" spans="2:7" x14ac:dyDescent="0.2">
      <c r="B431" s="9"/>
      <c r="C431" s="9"/>
      <c r="D431" s="9"/>
      <c r="E431" s="9"/>
      <c r="F431" s="9"/>
      <c r="G431" s="9"/>
    </row>
    <row r="432" spans="2:7" x14ac:dyDescent="0.2">
      <c r="B432" s="9"/>
      <c r="C432" s="9"/>
      <c r="D432" s="9"/>
      <c r="E432" s="9"/>
      <c r="F432" s="9"/>
      <c r="G432" s="9"/>
    </row>
    <row r="433" spans="2:7" x14ac:dyDescent="0.2">
      <c r="B433" s="9"/>
      <c r="C433" s="9"/>
      <c r="D433" s="9"/>
      <c r="E433" s="9"/>
      <c r="F433" s="9"/>
      <c r="G433" s="9"/>
    </row>
    <row r="434" spans="2:7" x14ac:dyDescent="0.2">
      <c r="B434" s="9"/>
      <c r="C434" s="9"/>
      <c r="D434" s="9"/>
      <c r="E434" s="9"/>
      <c r="F434" s="9"/>
      <c r="G434" s="9"/>
    </row>
    <row r="435" spans="2:7" x14ac:dyDescent="0.2">
      <c r="B435" s="9"/>
      <c r="C435" s="9"/>
      <c r="D435" s="9"/>
      <c r="E435" s="9"/>
      <c r="F435" s="9"/>
      <c r="G435" s="9"/>
    </row>
    <row r="436" spans="2:7" x14ac:dyDescent="0.2">
      <c r="B436" s="9"/>
      <c r="C436" s="9"/>
      <c r="D436" s="9"/>
      <c r="E436" s="9"/>
      <c r="F436" s="9"/>
      <c r="G436" s="9"/>
    </row>
    <row r="437" spans="2:7" x14ac:dyDescent="0.2">
      <c r="B437" s="9"/>
      <c r="C437" s="9"/>
      <c r="D437" s="9"/>
      <c r="E437" s="9"/>
      <c r="F437" s="9"/>
      <c r="G437" s="9"/>
    </row>
    <row r="438" spans="2:7" x14ac:dyDescent="0.2">
      <c r="B438" s="9"/>
      <c r="C438" s="9"/>
      <c r="D438" s="9"/>
      <c r="E438" s="9"/>
      <c r="F438" s="9"/>
      <c r="G438" s="9"/>
    </row>
    <row r="439" spans="2:7" x14ac:dyDescent="0.2">
      <c r="B439" s="9"/>
      <c r="C439" s="9"/>
      <c r="D439" s="9"/>
      <c r="E439" s="9"/>
      <c r="F439" s="9"/>
      <c r="G439" s="9"/>
    </row>
    <row r="440" spans="2:7" x14ac:dyDescent="0.2">
      <c r="B440" s="9"/>
      <c r="C440" s="9"/>
      <c r="D440" s="9"/>
      <c r="E440" s="9"/>
      <c r="F440" s="9"/>
      <c r="G440" s="9"/>
    </row>
    <row r="441" spans="2:7" x14ac:dyDescent="0.2">
      <c r="B441" s="9"/>
      <c r="C441" s="9"/>
      <c r="D441" s="9"/>
      <c r="E441" s="9"/>
      <c r="F441" s="9"/>
      <c r="G441" s="9"/>
    </row>
    <row r="442" spans="2:7" x14ac:dyDescent="0.2">
      <c r="B442" s="9"/>
      <c r="C442" s="9"/>
      <c r="D442" s="9"/>
      <c r="E442" s="9"/>
      <c r="F442" s="9"/>
      <c r="G442" s="9"/>
    </row>
    <row r="443" spans="2:7" x14ac:dyDescent="0.2">
      <c r="B443" s="9"/>
      <c r="C443" s="9"/>
      <c r="D443" s="9"/>
      <c r="E443" s="9"/>
      <c r="F443" s="9"/>
      <c r="G443" s="9"/>
    </row>
    <row r="444" spans="2:7" x14ac:dyDescent="0.2">
      <c r="B444" s="9"/>
      <c r="C444" s="9"/>
      <c r="D444" s="9"/>
      <c r="E444" s="9"/>
      <c r="F444" s="9"/>
      <c r="G444" s="9"/>
    </row>
    <row r="445" spans="2:7" x14ac:dyDescent="0.2">
      <c r="B445" s="9"/>
      <c r="C445" s="9"/>
      <c r="D445" s="9"/>
      <c r="E445" s="9"/>
      <c r="F445" s="9"/>
      <c r="G445" s="9"/>
    </row>
    <row r="446" spans="2:7" x14ac:dyDescent="0.2">
      <c r="B446" s="9"/>
      <c r="C446" s="9"/>
      <c r="D446" s="9"/>
      <c r="E446" s="9"/>
      <c r="F446" s="9"/>
      <c r="G446" s="9"/>
    </row>
    <row r="447" spans="2:7" x14ac:dyDescent="0.2">
      <c r="B447" s="9"/>
      <c r="C447" s="9"/>
      <c r="D447" s="9"/>
      <c r="E447" s="9"/>
      <c r="F447" s="9"/>
      <c r="G447" s="9"/>
    </row>
    <row r="448" spans="2:7" x14ac:dyDescent="0.2">
      <c r="B448" s="9"/>
      <c r="C448" s="9"/>
      <c r="D448" s="9"/>
      <c r="E448" s="9"/>
      <c r="F448" s="9"/>
      <c r="G448" s="9"/>
    </row>
    <row r="449" spans="2:7" x14ac:dyDescent="0.2">
      <c r="B449" s="9"/>
      <c r="C449" s="9"/>
      <c r="D449" s="9"/>
      <c r="E449" s="9"/>
      <c r="F449" s="9"/>
      <c r="G449" s="9"/>
    </row>
    <row r="450" spans="2:7" x14ac:dyDescent="0.2">
      <c r="B450" s="9"/>
      <c r="C450" s="9"/>
      <c r="D450" s="9"/>
      <c r="E450" s="9"/>
      <c r="F450" s="9"/>
      <c r="G450" s="9"/>
    </row>
    <row r="451" spans="2:7" x14ac:dyDescent="0.2">
      <c r="B451" s="9"/>
      <c r="C451" s="9"/>
      <c r="D451" s="9"/>
      <c r="E451" s="9"/>
      <c r="F451" s="9"/>
      <c r="G451" s="9"/>
    </row>
    <row r="452" spans="2:7" x14ac:dyDescent="0.2">
      <c r="B452" s="9"/>
      <c r="C452" s="9"/>
      <c r="D452" s="9"/>
      <c r="E452" s="9"/>
      <c r="F452" s="9"/>
      <c r="G452" s="9"/>
    </row>
    <row r="453" spans="2:7" x14ac:dyDescent="0.2">
      <c r="B453" s="9"/>
      <c r="C453" s="9"/>
      <c r="D453" s="9"/>
      <c r="E453" s="9"/>
      <c r="F453" s="9"/>
      <c r="G453" s="9"/>
    </row>
    <row r="454" spans="2:7" x14ac:dyDescent="0.2">
      <c r="B454" s="9"/>
      <c r="C454" s="9"/>
      <c r="D454" s="9"/>
      <c r="E454" s="9"/>
      <c r="F454" s="9"/>
      <c r="G454" s="9"/>
    </row>
    <row r="455" spans="2:7" x14ac:dyDescent="0.2">
      <c r="B455" s="9"/>
      <c r="C455" s="9"/>
      <c r="D455" s="9"/>
      <c r="E455" s="9"/>
      <c r="F455" s="9"/>
      <c r="G455" s="9"/>
    </row>
    <row r="456" spans="2:7" x14ac:dyDescent="0.2">
      <c r="B456" s="9"/>
      <c r="C456" s="9"/>
      <c r="D456" s="9"/>
      <c r="E456" s="9"/>
      <c r="F456" s="9"/>
      <c r="G456" s="9"/>
    </row>
    <row r="457" spans="2:7" x14ac:dyDescent="0.2">
      <c r="B457" s="9"/>
      <c r="C457" s="9"/>
      <c r="D457" s="9"/>
      <c r="E457" s="9"/>
      <c r="F457" s="9"/>
      <c r="G457" s="9"/>
    </row>
    <row r="458" spans="2:7" x14ac:dyDescent="0.2">
      <c r="B458" s="9"/>
      <c r="C458" s="9"/>
      <c r="D458" s="9"/>
      <c r="E458" s="9"/>
      <c r="F458" s="9"/>
      <c r="G458" s="9"/>
    </row>
    <row r="459" spans="2:7" x14ac:dyDescent="0.2">
      <c r="B459" s="9"/>
      <c r="C459" s="9"/>
      <c r="D459" s="9"/>
      <c r="E459" s="9"/>
      <c r="F459" s="9"/>
      <c r="G459" s="9"/>
    </row>
    <row r="460" spans="2:7" x14ac:dyDescent="0.2">
      <c r="B460" s="9"/>
      <c r="C460" s="9"/>
      <c r="D460" s="9"/>
      <c r="E460" s="9"/>
      <c r="F460" s="9"/>
      <c r="G460" s="9"/>
    </row>
    <row r="461" spans="2:7" x14ac:dyDescent="0.2">
      <c r="B461" s="9"/>
      <c r="C461" s="9"/>
      <c r="D461" s="9"/>
      <c r="E461" s="9"/>
      <c r="F461" s="9"/>
      <c r="G461" s="9"/>
    </row>
    <row r="462" spans="2:7" x14ac:dyDescent="0.2">
      <c r="B462" s="9"/>
      <c r="C462" s="9"/>
      <c r="D462" s="9"/>
      <c r="E462" s="9"/>
      <c r="F462" s="9"/>
      <c r="G462" s="9"/>
    </row>
    <row r="463" spans="2:7" x14ac:dyDescent="0.2">
      <c r="B463" s="9"/>
      <c r="C463" s="9"/>
      <c r="D463" s="9"/>
      <c r="E463" s="9"/>
      <c r="F463" s="9"/>
      <c r="G463" s="9"/>
    </row>
    <row r="464" spans="2:7" x14ac:dyDescent="0.2">
      <c r="B464" s="9"/>
      <c r="C464" s="9"/>
      <c r="D464" s="9"/>
      <c r="E464" s="9"/>
      <c r="F464" s="9"/>
      <c r="G464" s="9"/>
    </row>
    <row r="465" spans="2:7" x14ac:dyDescent="0.2">
      <c r="B465" s="9"/>
      <c r="C465" s="9"/>
      <c r="D465" s="9"/>
      <c r="E465" s="9"/>
      <c r="F465" s="9"/>
      <c r="G465" s="9"/>
    </row>
    <row r="466" spans="2:7" x14ac:dyDescent="0.2">
      <c r="B466" s="9"/>
      <c r="C466" s="9"/>
      <c r="D466" s="9"/>
      <c r="E466" s="9"/>
      <c r="F466" s="9"/>
      <c r="G466" s="9"/>
    </row>
    <row r="467" spans="2:7" x14ac:dyDescent="0.2">
      <c r="B467" s="9"/>
      <c r="C467" s="9"/>
      <c r="D467" s="9"/>
      <c r="E467" s="9"/>
      <c r="F467" s="9"/>
      <c r="G467" s="9"/>
    </row>
    <row r="468" spans="2:7" x14ac:dyDescent="0.2">
      <c r="B468" s="9"/>
      <c r="C468" s="9"/>
      <c r="D468" s="9"/>
      <c r="E468" s="9"/>
      <c r="F468" s="9"/>
      <c r="G468" s="9"/>
    </row>
    <row r="469" spans="2:7" x14ac:dyDescent="0.2">
      <c r="B469" s="9"/>
      <c r="C469" s="9"/>
      <c r="D469" s="9"/>
      <c r="E469" s="9"/>
      <c r="F469" s="9"/>
      <c r="G469" s="9"/>
    </row>
    <row r="470" spans="2:7" x14ac:dyDescent="0.2">
      <c r="B470" s="9"/>
      <c r="C470" s="9"/>
      <c r="D470" s="9"/>
      <c r="E470" s="9"/>
      <c r="F470" s="9"/>
      <c r="G470" s="9"/>
    </row>
    <row r="471" spans="2:7" x14ac:dyDescent="0.2">
      <c r="B471" s="9"/>
      <c r="C471" s="9"/>
      <c r="D471" s="9"/>
      <c r="E471" s="9"/>
      <c r="F471" s="9"/>
      <c r="G471" s="9"/>
    </row>
    <row r="472" spans="2:7" x14ac:dyDescent="0.2">
      <c r="B472" s="9"/>
      <c r="C472" s="9"/>
      <c r="D472" s="9"/>
      <c r="E472" s="9"/>
      <c r="F472" s="9"/>
      <c r="G472" s="9"/>
    </row>
    <row r="473" spans="2:7" x14ac:dyDescent="0.2">
      <c r="B473" s="9"/>
      <c r="C473" s="9"/>
      <c r="D473" s="9"/>
      <c r="E473" s="9"/>
      <c r="F473" s="9"/>
      <c r="G473" s="9"/>
    </row>
    <row r="474" spans="2:7" x14ac:dyDescent="0.2">
      <c r="B474" s="9"/>
      <c r="C474" s="9"/>
      <c r="D474" s="9"/>
      <c r="E474" s="9"/>
      <c r="F474" s="9"/>
      <c r="G474" s="9"/>
    </row>
    <row r="475" spans="2:7" x14ac:dyDescent="0.2">
      <c r="B475" s="9"/>
      <c r="C475" s="9"/>
      <c r="D475" s="9"/>
      <c r="E475" s="9"/>
      <c r="F475" s="9"/>
      <c r="G475" s="9"/>
    </row>
    <row r="476" spans="2:7" x14ac:dyDescent="0.2">
      <c r="B476" s="9"/>
      <c r="C476" s="9"/>
      <c r="D476" s="9"/>
      <c r="E476" s="9"/>
      <c r="F476" s="9"/>
      <c r="G476" s="9"/>
    </row>
    <row r="477" spans="2:7" x14ac:dyDescent="0.2">
      <c r="B477" s="9"/>
      <c r="C477" s="9"/>
      <c r="D477" s="9"/>
      <c r="E477" s="9"/>
      <c r="F477" s="9"/>
      <c r="G477" s="9"/>
    </row>
    <row r="478" spans="2:7" x14ac:dyDescent="0.2">
      <c r="B478" s="9"/>
      <c r="C478" s="9"/>
      <c r="D478" s="9"/>
      <c r="E478" s="9"/>
      <c r="F478" s="9"/>
      <c r="G478" s="9"/>
    </row>
    <row r="479" spans="2:7" x14ac:dyDescent="0.2">
      <c r="B479" s="9"/>
      <c r="C479" s="9"/>
      <c r="D479" s="9"/>
      <c r="E479" s="9"/>
      <c r="F479" s="9"/>
      <c r="G479" s="9"/>
    </row>
    <row r="480" spans="2:7" x14ac:dyDescent="0.2">
      <c r="B480" s="9"/>
      <c r="C480" s="9"/>
      <c r="D480" s="9"/>
      <c r="E480" s="9"/>
      <c r="F480" s="9"/>
      <c r="G480" s="9"/>
    </row>
    <row r="481" spans="2:7" x14ac:dyDescent="0.2">
      <c r="B481" s="9"/>
      <c r="C481" s="9"/>
      <c r="D481" s="9"/>
      <c r="E481" s="9"/>
      <c r="F481" s="9"/>
      <c r="G481" s="9"/>
    </row>
    <row r="482" spans="2:7" x14ac:dyDescent="0.2">
      <c r="B482" s="9"/>
      <c r="C482" s="9"/>
      <c r="D482" s="9"/>
      <c r="E482" s="9"/>
      <c r="F482" s="9"/>
      <c r="G482" s="9"/>
    </row>
    <row r="483" spans="2:7" x14ac:dyDescent="0.2">
      <c r="B483" s="9"/>
      <c r="C483" s="9"/>
      <c r="D483" s="9"/>
      <c r="E483" s="9"/>
      <c r="F483" s="9"/>
      <c r="G483" s="9"/>
    </row>
    <row r="484" spans="2:7" x14ac:dyDescent="0.2">
      <c r="B484" s="9"/>
      <c r="C484" s="9"/>
      <c r="D484" s="9"/>
      <c r="E484" s="9"/>
      <c r="F484" s="9"/>
      <c r="G484" s="9"/>
    </row>
    <row r="485" spans="2:7" x14ac:dyDescent="0.2">
      <c r="B485" s="9"/>
      <c r="C485" s="9"/>
      <c r="D485" s="9"/>
      <c r="E485" s="9"/>
      <c r="F485" s="9"/>
      <c r="G485" s="9"/>
    </row>
    <row r="486" spans="2:7" x14ac:dyDescent="0.2">
      <c r="B486" s="9"/>
      <c r="C486" s="9"/>
      <c r="D486" s="9"/>
      <c r="E486" s="9"/>
      <c r="F486" s="9"/>
      <c r="G486" s="9"/>
    </row>
    <row r="487" spans="2:7" x14ac:dyDescent="0.2">
      <c r="B487" s="9"/>
      <c r="C487" s="9"/>
      <c r="D487" s="9"/>
      <c r="E487" s="9"/>
      <c r="F487" s="9"/>
      <c r="G487" s="9"/>
    </row>
    <row r="488" spans="2:7" x14ac:dyDescent="0.2">
      <c r="B488" s="9"/>
      <c r="C488" s="9"/>
      <c r="D488" s="9"/>
      <c r="E488" s="9"/>
      <c r="F488" s="9"/>
      <c r="G488" s="9"/>
    </row>
    <row r="489" spans="2:7" x14ac:dyDescent="0.2">
      <c r="B489" s="9"/>
      <c r="C489" s="9"/>
      <c r="D489" s="9"/>
      <c r="E489" s="9"/>
      <c r="F489" s="9"/>
      <c r="G489" s="9"/>
    </row>
    <row r="490" spans="2:7" x14ac:dyDescent="0.2">
      <c r="B490" s="9"/>
      <c r="C490" s="9"/>
      <c r="D490" s="9"/>
      <c r="E490" s="9"/>
      <c r="F490" s="9"/>
      <c r="G490" s="9"/>
    </row>
    <row r="491" spans="2:7" x14ac:dyDescent="0.2">
      <c r="B491" s="9"/>
      <c r="C491" s="9"/>
      <c r="D491" s="9"/>
      <c r="E491" s="9"/>
      <c r="F491" s="9"/>
      <c r="G491" s="9"/>
    </row>
    <row r="492" spans="2:7" x14ac:dyDescent="0.2">
      <c r="B492" s="9"/>
      <c r="C492" s="9"/>
      <c r="D492" s="9"/>
      <c r="E492" s="9"/>
      <c r="F492" s="9"/>
      <c r="G492" s="9"/>
    </row>
    <row r="493" spans="2:7" x14ac:dyDescent="0.2">
      <c r="B493" s="9"/>
      <c r="C493" s="9"/>
      <c r="D493" s="9"/>
      <c r="E493" s="9"/>
      <c r="F493" s="9"/>
      <c r="G493" s="9"/>
    </row>
    <row r="494" spans="2:7" x14ac:dyDescent="0.2">
      <c r="B494" s="9"/>
      <c r="C494" s="9"/>
      <c r="D494" s="9"/>
      <c r="E494" s="9"/>
      <c r="F494" s="9"/>
      <c r="G494" s="9"/>
    </row>
    <row r="495" spans="2:7" x14ac:dyDescent="0.2">
      <c r="B495" s="9"/>
      <c r="C495" s="9"/>
      <c r="D495" s="9"/>
      <c r="E495" s="9"/>
      <c r="F495" s="9"/>
      <c r="G495" s="9"/>
    </row>
    <row r="496" spans="2:7" x14ac:dyDescent="0.2">
      <c r="B496" s="9"/>
      <c r="C496" s="9"/>
      <c r="D496" s="9"/>
      <c r="E496" s="9"/>
      <c r="F496" s="9"/>
      <c r="G496" s="9"/>
    </row>
    <row r="497" spans="2:7" x14ac:dyDescent="0.2">
      <c r="B497" s="9"/>
      <c r="C497" s="9"/>
      <c r="D497" s="9"/>
      <c r="E497" s="9"/>
      <c r="F497" s="9"/>
      <c r="G497" s="9"/>
    </row>
    <row r="498" spans="2:7" x14ac:dyDescent="0.2">
      <c r="B498" s="9"/>
      <c r="C498" s="9"/>
      <c r="D498" s="9"/>
      <c r="E498" s="9"/>
      <c r="F498" s="9"/>
      <c r="G498" s="9"/>
    </row>
    <row r="499" spans="2:7" x14ac:dyDescent="0.2">
      <c r="B499" s="9"/>
      <c r="C499" s="9"/>
      <c r="D499" s="9"/>
      <c r="E499" s="9"/>
      <c r="F499" s="9"/>
      <c r="G499" s="9"/>
    </row>
    <row r="500" spans="2:7" x14ac:dyDescent="0.2">
      <c r="B500" s="9"/>
      <c r="C500" s="9"/>
      <c r="D500" s="9"/>
      <c r="E500" s="9"/>
      <c r="F500" s="9"/>
      <c r="G500" s="9"/>
    </row>
    <row r="501" spans="2:7" x14ac:dyDescent="0.2">
      <c r="B501" s="9"/>
      <c r="C501" s="9"/>
      <c r="D501" s="9"/>
      <c r="E501" s="9"/>
      <c r="F501" s="9"/>
      <c r="G501" s="9"/>
    </row>
    <row r="502" spans="2:7" x14ac:dyDescent="0.2">
      <c r="B502" s="9"/>
      <c r="C502" s="9"/>
      <c r="D502" s="9"/>
      <c r="E502" s="9"/>
      <c r="F502" s="9"/>
      <c r="G502" s="9"/>
    </row>
    <row r="503" spans="2:7" x14ac:dyDescent="0.2">
      <c r="B503" s="9"/>
      <c r="C503" s="9"/>
      <c r="D503" s="9"/>
      <c r="E503" s="9"/>
      <c r="F503" s="9"/>
      <c r="G503" s="9"/>
    </row>
    <row r="504" spans="2:7" x14ac:dyDescent="0.2">
      <c r="B504" s="9"/>
      <c r="C504" s="9"/>
      <c r="D504" s="9"/>
      <c r="E504" s="9"/>
      <c r="F504" s="9"/>
      <c r="G504" s="9"/>
    </row>
    <row r="505" spans="2:7" x14ac:dyDescent="0.2">
      <c r="B505" s="9"/>
      <c r="C505" s="9"/>
      <c r="D505" s="9"/>
      <c r="E505" s="9"/>
      <c r="F505" s="9"/>
      <c r="G505" s="9"/>
    </row>
    <row r="506" spans="2:7" x14ac:dyDescent="0.2">
      <c r="B506" s="9"/>
      <c r="C506" s="9"/>
      <c r="D506" s="9"/>
      <c r="E506" s="9"/>
      <c r="F506" s="9"/>
      <c r="G506" s="9"/>
    </row>
    <row r="507" spans="2:7" x14ac:dyDescent="0.2">
      <c r="B507" s="9"/>
      <c r="C507" s="9"/>
      <c r="D507" s="9"/>
      <c r="E507" s="9"/>
      <c r="F507" s="9"/>
      <c r="G507" s="9"/>
    </row>
    <row r="508" spans="2:7" x14ac:dyDescent="0.2">
      <c r="B508" s="9"/>
      <c r="C508" s="9"/>
      <c r="D508" s="9"/>
      <c r="E508" s="9"/>
      <c r="F508" s="9"/>
      <c r="G508" s="9"/>
    </row>
    <row r="509" spans="2:7" x14ac:dyDescent="0.2">
      <c r="B509" s="9"/>
      <c r="C509" s="9"/>
      <c r="D509" s="9"/>
      <c r="E509" s="9"/>
      <c r="F509" s="9"/>
      <c r="G509" s="9"/>
    </row>
    <row r="510" spans="2:7" x14ac:dyDescent="0.2">
      <c r="B510" s="9"/>
      <c r="C510" s="9"/>
      <c r="D510" s="9"/>
      <c r="E510" s="9"/>
      <c r="F510" s="9"/>
      <c r="G510" s="9"/>
    </row>
    <row r="511" spans="2:7" x14ac:dyDescent="0.2">
      <c r="B511" s="9"/>
      <c r="C511" s="9"/>
      <c r="D511" s="9"/>
      <c r="E511" s="9"/>
      <c r="F511" s="9"/>
      <c r="G511" s="9"/>
    </row>
    <row r="512" spans="2:7" x14ac:dyDescent="0.2">
      <c r="B512" s="9"/>
      <c r="C512" s="9"/>
      <c r="D512" s="9"/>
      <c r="E512" s="9"/>
      <c r="F512" s="9"/>
      <c r="G512" s="9"/>
    </row>
    <row r="513" spans="2:7" x14ac:dyDescent="0.2">
      <c r="B513" s="9"/>
      <c r="C513" s="9"/>
      <c r="D513" s="9"/>
      <c r="E513" s="9"/>
      <c r="F513" s="9"/>
      <c r="G513" s="9"/>
    </row>
    <row r="514" spans="2:7" x14ac:dyDescent="0.2">
      <c r="B514" s="9"/>
      <c r="C514" s="9"/>
      <c r="D514" s="9"/>
      <c r="E514" s="9"/>
      <c r="F514" s="9"/>
      <c r="G514" s="9"/>
    </row>
    <row r="515" spans="2:7" x14ac:dyDescent="0.2">
      <c r="B515" s="9"/>
      <c r="C515" s="9"/>
      <c r="D515" s="9"/>
      <c r="E515" s="9"/>
      <c r="F515" s="9"/>
      <c r="G515" s="9"/>
    </row>
    <row r="516" spans="2:7" x14ac:dyDescent="0.2">
      <c r="B516" s="9"/>
      <c r="C516" s="9"/>
      <c r="D516" s="9"/>
      <c r="E516" s="9"/>
      <c r="F516" s="9"/>
      <c r="G516" s="9"/>
    </row>
    <row r="517" spans="2:7" x14ac:dyDescent="0.2">
      <c r="B517" s="9"/>
      <c r="C517" s="9"/>
      <c r="D517" s="9"/>
      <c r="E517" s="9"/>
      <c r="F517" s="9"/>
      <c r="G517" s="9"/>
    </row>
    <row r="518" spans="2:7" x14ac:dyDescent="0.2">
      <c r="B518" s="9"/>
      <c r="C518" s="9"/>
      <c r="D518" s="9"/>
      <c r="E518" s="9"/>
      <c r="F518" s="9"/>
      <c r="G518" s="9"/>
    </row>
    <row r="519" spans="2:7" x14ac:dyDescent="0.2">
      <c r="B519" s="9"/>
      <c r="C519" s="9"/>
      <c r="D519" s="9"/>
      <c r="E519" s="9"/>
      <c r="F519" s="9"/>
      <c r="G519" s="9"/>
    </row>
    <row r="520" spans="2:7" x14ac:dyDescent="0.2">
      <c r="B520" s="9"/>
      <c r="C520" s="9"/>
      <c r="D520" s="9"/>
      <c r="E520" s="9"/>
      <c r="F520" s="9"/>
      <c r="G520" s="9"/>
    </row>
    <row r="521" spans="2:7" x14ac:dyDescent="0.2">
      <c r="B521" s="9"/>
      <c r="C521" s="9"/>
      <c r="D521" s="9"/>
      <c r="E521" s="9"/>
      <c r="F521" s="9"/>
      <c r="G521" s="9"/>
    </row>
    <row r="522" spans="2:7" x14ac:dyDescent="0.2">
      <c r="B522" s="9"/>
      <c r="C522" s="9"/>
      <c r="D522" s="9"/>
      <c r="E522" s="9"/>
      <c r="F522" s="9"/>
      <c r="G522" s="9"/>
    </row>
    <row r="523" spans="2:7" x14ac:dyDescent="0.2">
      <c r="B523" s="9"/>
      <c r="C523" s="9"/>
      <c r="D523" s="9"/>
      <c r="E523" s="9"/>
      <c r="F523" s="9"/>
      <c r="G523" s="9"/>
    </row>
    <row r="524" spans="2:7" x14ac:dyDescent="0.2">
      <c r="B524" s="9"/>
      <c r="C524" s="9"/>
      <c r="D524" s="9"/>
      <c r="E524" s="9"/>
      <c r="F524" s="9"/>
      <c r="G524" s="9"/>
    </row>
    <row r="525" spans="2:7" x14ac:dyDescent="0.2">
      <c r="B525" s="9"/>
      <c r="C525" s="9"/>
      <c r="D525" s="9"/>
      <c r="E525" s="9"/>
      <c r="F525" s="9"/>
      <c r="G525" s="9"/>
    </row>
    <row r="526" spans="2:7" x14ac:dyDescent="0.2">
      <c r="B526" s="9"/>
      <c r="C526" s="9"/>
      <c r="D526" s="9"/>
      <c r="E526" s="9"/>
      <c r="F526" s="9"/>
      <c r="G526" s="9"/>
    </row>
    <row r="527" spans="2:7" x14ac:dyDescent="0.2">
      <c r="B527" s="9"/>
      <c r="C527" s="9"/>
      <c r="D527" s="9"/>
      <c r="E527" s="9"/>
      <c r="F527" s="9"/>
      <c r="G527" s="9"/>
    </row>
    <row r="528" spans="2:7" x14ac:dyDescent="0.2">
      <c r="B528" s="9"/>
      <c r="C528" s="9"/>
      <c r="D528" s="9"/>
      <c r="E528" s="9"/>
      <c r="F528" s="9"/>
      <c r="G528" s="9"/>
    </row>
    <row r="529" spans="2:7" x14ac:dyDescent="0.2">
      <c r="B529" s="9"/>
      <c r="C529" s="9"/>
      <c r="D529" s="9"/>
      <c r="E529" s="9"/>
      <c r="F529" s="9"/>
      <c r="G529" s="9"/>
    </row>
    <row r="530" spans="2:7" x14ac:dyDescent="0.2">
      <c r="B530" s="9"/>
      <c r="C530" s="9"/>
      <c r="D530" s="9"/>
      <c r="E530" s="9"/>
      <c r="F530" s="9"/>
      <c r="G530" s="9"/>
    </row>
    <row r="531" spans="2:7" x14ac:dyDescent="0.2">
      <c r="B531" s="9"/>
      <c r="C531" s="9"/>
      <c r="D531" s="9"/>
      <c r="E531" s="9"/>
      <c r="F531" s="9"/>
      <c r="G531" s="9"/>
    </row>
    <row r="532" spans="2:7" x14ac:dyDescent="0.2">
      <c r="B532" s="9"/>
      <c r="C532" s="9"/>
      <c r="D532" s="9"/>
      <c r="E532" s="9"/>
      <c r="F532" s="9"/>
      <c r="G532" s="9"/>
    </row>
    <row r="533" spans="2:7" x14ac:dyDescent="0.2">
      <c r="B533" s="9"/>
      <c r="C533" s="9"/>
      <c r="D533" s="9"/>
      <c r="E533" s="9"/>
      <c r="F533" s="9"/>
      <c r="G533" s="9"/>
    </row>
    <row r="534" spans="2:7" x14ac:dyDescent="0.2">
      <c r="B534" s="9"/>
      <c r="C534" s="9"/>
      <c r="D534" s="9"/>
      <c r="E534" s="9"/>
      <c r="F534" s="9"/>
      <c r="G534" s="9"/>
    </row>
    <row r="535" spans="2:7" x14ac:dyDescent="0.2">
      <c r="B535" s="9"/>
      <c r="C535" s="9"/>
      <c r="D535" s="9"/>
      <c r="E535" s="9"/>
      <c r="F535" s="9"/>
      <c r="G535" s="9"/>
    </row>
    <row r="536" spans="2:7" x14ac:dyDescent="0.2">
      <c r="B536" s="9"/>
      <c r="C536" s="9"/>
      <c r="D536" s="9"/>
      <c r="E536" s="9"/>
      <c r="F536" s="9"/>
      <c r="G536" s="9"/>
    </row>
    <row r="537" spans="2:7" x14ac:dyDescent="0.2">
      <c r="B537" s="9"/>
      <c r="C537" s="9"/>
      <c r="D537" s="9"/>
      <c r="E537" s="9"/>
      <c r="F537" s="9"/>
      <c r="G537" s="9"/>
    </row>
    <row r="538" spans="2:7" x14ac:dyDescent="0.2">
      <c r="B538" s="9"/>
      <c r="C538" s="9"/>
      <c r="D538" s="9"/>
      <c r="E538" s="9"/>
      <c r="F538" s="9"/>
      <c r="G538" s="9"/>
    </row>
    <row r="539" spans="2:7" x14ac:dyDescent="0.2">
      <c r="B539" s="9"/>
      <c r="C539" s="9"/>
      <c r="D539" s="9"/>
      <c r="E539" s="9"/>
      <c r="F539" s="9"/>
      <c r="G539" s="9"/>
    </row>
    <row r="540" spans="2:7" x14ac:dyDescent="0.2">
      <c r="B540" s="9"/>
      <c r="C540" s="9"/>
      <c r="D540" s="9"/>
      <c r="E540" s="9"/>
      <c r="F540" s="9"/>
      <c r="G540" s="9"/>
    </row>
    <row r="541" spans="2:7" x14ac:dyDescent="0.2">
      <c r="B541" s="9"/>
      <c r="C541" s="9"/>
      <c r="D541" s="9"/>
      <c r="E541" s="9"/>
      <c r="F541" s="9"/>
      <c r="G541" s="9"/>
    </row>
    <row r="542" spans="2:7" x14ac:dyDescent="0.2">
      <c r="B542" s="9"/>
      <c r="C542" s="9"/>
      <c r="D542" s="9"/>
      <c r="E542" s="9"/>
      <c r="F542" s="9"/>
      <c r="G542" s="9"/>
    </row>
    <row r="543" spans="2:7" x14ac:dyDescent="0.2">
      <c r="B543" s="9"/>
      <c r="C543" s="9"/>
      <c r="D543" s="9"/>
      <c r="E543" s="9"/>
      <c r="F543" s="9"/>
      <c r="G543" s="9"/>
    </row>
    <row r="544" spans="2:7" x14ac:dyDescent="0.2">
      <c r="B544" s="9"/>
      <c r="C544" s="9"/>
      <c r="D544" s="9"/>
      <c r="E544" s="9"/>
      <c r="F544" s="9"/>
      <c r="G544" s="9"/>
    </row>
    <row r="545" spans="2:7" x14ac:dyDescent="0.2">
      <c r="B545" s="9"/>
      <c r="C545" s="9"/>
      <c r="D545" s="9"/>
      <c r="E545" s="9"/>
      <c r="F545" s="9"/>
      <c r="G545" s="9"/>
    </row>
    <row r="546" spans="2:7" x14ac:dyDescent="0.2">
      <c r="B546" s="9"/>
      <c r="C546" s="9"/>
      <c r="D546" s="9"/>
      <c r="E546" s="9"/>
      <c r="F546" s="9"/>
      <c r="G546" s="9"/>
    </row>
    <row r="547" spans="2:7" x14ac:dyDescent="0.2">
      <c r="B547" s="9"/>
      <c r="C547" s="9"/>
      <c r="D547" s="9"/>
      <c r="E547" s="9"/>
      <c r="F547" s="9"/>
      <c r="G547" s="9"/>
    </row>
    <row r="548" spans="2:7" x14ac:dyDescent="0.2">
      <c r="B548" s="9"/>
      <c r="C548" s="9"/>
      <c r="D548" s="9"/>
      <c r="E548" s="9"/>
      <c r="F548" s="9"/>
      <c r="G548" s="9"/>
    </row>
    <row r="549" spans="2:7" x14ac:dyDescent="0.2">
      <c r="B549" s="9"/>
      <c r="C549" s="9"/>
      <c r="D549" s="9"/>
      <c r="E549" s="9"/>
      <c r="F549" s="9"/>
      <c r="G549" s="9"/>
    </row>
    <row r="550" spans="2:7" x14ac:dyDescent="0.2">
      <c r="B550" s="9"/>
      <c r="C550" s="9"/>
      <c r="D550" s="9"/>
      <c r="E550" s="9"/>
      <c r="F550" s="9"/>
      <c r="G550" s="9"/>
    </row>
    <row r="551" spans="2:7" x14ac:dyDescent="0.2">
      <c r="B551" s="9"/>
      <c r="C551" s="9"/>
      <c r="D551" s="9"/>
      <c r="E551" s="9"/>
      <c r="F551" s="9"/>
      <c r="G551" s="9"/>
    </row>
    <row r="552" spans="2:7" x14ac:dyDescent="0.2">
      <c r="B552" s="9"/>
      <c r="C552" s="9"/>
      <c r="D552" s="9"/>
      <c r="E552" s="9"/>
      <c r="F552" s="9"/>
      <c r="G552" s="9"/>
    </row>
    <row r="553" spans="2:7" x14ac:dyDescent="0.2">
      <c r="B553" s="9"/>
      <c r="C553" s="9"/>
      <c r="D553" s="9"/>
      <c r="E553" s="9"/>
      <c r="F553" s="9"/>
      <c r="G553" s="9"/>
    </row>
    <row r="554" spans="2:7" x14ac:dyDescent="0.2">
      <c r="B554" s="9"/>
      <c r="C554" s="9"/>
      <c r="D554" s="9"/>
      <c r="E554" s="9"/>
      <c r="F554" s="9"/>
      <c r="G554" s="9"/>
    </row>
    <row r="555" spans="2:7" x14ac:dyDescent="0.2">
      <c r="B555" s="9"/>
      <c r="C555" s="9"/>
      <c r="D555" s="9"/>
      <c r="E555" s="9"/>
      <c r="F555" s="9"/>
      <c r="G555" s="9"/>
    </row>
    <row r="556" spans="2:7" x14ac:dyDescent="0.2">
      <c r="B556" s="9"/>
      <c r="C556" s="9"/>
      <c r="D556" s="9"/>
      <c r="E556" s="9"/>
      <c r="F556" s="9"/>
      <c r="G556" s="9"/>
    </row>
    <row r="557" spans="2:7" x14ac:dyDescent="0.2">
      <c r="B557" s="9"/>
      <c r="C557" s="9"/>
      <c r="D557" s="9"/>
      <c r="E557" s="9"/>
      <c r="F557" s="9"/>
      <c r="G557" s="9"/>
    </row>
    <row r="558" spans="2:7" x14ac:dyDescent="0.2">
      <c r="B558" s="9"/>
      <c r="C558" s="9"/>
      <c r="D558" s="9"/>
      <c r="E558" s="9"/>
      <c r="F558" s="9"/>
      <c r="G558" s="9"/>
    </row>
    <row r="559" spans="2:7" x14ac:dyDescent="0.2">
      <c r="B559" s="9"/>
      <c r="C559" s="9"/>
      <c r="D559" s="9"/>
      <c r="E559" s="9"/>
      <c r="F559" s="9"/>
      <c r="G559" s="9"/>
    </row>
    <row r="560" spans="2:7" x14ac:dyDescent="0.2">
      <c r="B560" s="9"/>
      <c r="C560" s="9"/>
      <c r="D560" s="9"/>
      <c r="E560" s="9"/>
      <c r="F560" s="9"/>
      <c r="G560" s="9"/>
    </row>
    <row r="561" spans="2:7" x14ac:dyDescent="0.2">
      <c r="B561" s="9"/>
      <c r="C561" s="9"/>
      <c r="D561" s="9"/>
      <c r="E561" s="9"/>
      <c r="F561" s="9"/>
      <c r="G561" s="9"/>
    </row>
    <row r="562" spans="2:7" x14ac:dyDescent="0.2">
      <c r="B562" s="9"/>
      <c r="C562" s="9"/>
      <c r="D562" s="9"/>
      <c r="E562" s="9"/>
      <c r="F562" s="9"/>
      <c r="G562" s="9"/>
    </row>
    <row r="563" spans="2:7" x14ac:dyDescent="0.2">
      <c r="B563" s="9"/>
      <c r="C563" s="9"/>
      <c r="D563" s="9"/>
      <c r="E563" s="9"/>
      <c r="F563" s="9"/>
      <c r="G563" s="9"/>
    </row>
    <row r="564" spans="2:7" x14ac:dyDescent="0.2">
      <c r="B564" s="9"/>
      <c r="C564" s="9"/>
      <c r="D564" s="9"/>
      <c r="E564" s="9"/>
      <c r="F564" s="9"/>
      <c r="G564" s="9"/>
    </row>
    <row r="565" spans="2:7" x14ac:dyDescent="0.2">
      <c r="B565" s="9"/>
      <c r="C565" s="9"/>
      <c r="D565" s="9"/>
      <c r="E565" s="9"/>
      <c r="F565" s="9"/>
      <c r="G565" s="9"/>
    </row>
    <row r="566" spans="2:7" x14ac:dyDescent="0.2">
      <c r="B566" s="9"/>
      <c r="C566" s="9"/>
      <c r="D566" s="9"/>
      <c r="E566" s="9"/>
      <c r="F566" s="9"/>
      <c r="G566" s="9"/>
    </row>
    <row r="567" spans="2:7" x14ac:dyDescent="0.2">
      <c r="B567" s="9"/>
      <c r="C567" s="9"/>
      <c r="D567" s="9"/>
      <c r="E567" s="9"/>
      <c r="F567" s="9"/>
      <c r="G567" s="9"/>
    </row>
    <row r="568" spans="2:7" x14ac:dyDescent="0.2">
      <c r="B568" s="9"/>
      <c r="C568" s="9"/>
      <c r="D568" s="9"/>
      <c r="E568" s="9"/>
      <c r="F568" s="9"/>
      <c r="G568" s="9"/>
    </row>
    <row r="569" spans="2:7" x14ac:dyDescent="0.2">
      <c r="B569" s="9"/>
      <c r="C569" s="9"/>
      <c r="D569" s="9"/>
      <c r="E569" s="9"/>
      <c r="F569" s="9"/>
      <c r="G569" s="9"/>
    </row>
    <row r="570" spans="2:7" x14ac:dyDescent="0.2">
      <c r="B570" s="9"/>
      <c r="C570" s="9"/>
      <c r="D570" s="9"/>
      <c r="E570" s="9"/>
      <c r="F570" s="9"/>
      <c r="G570" s="9"/>
    </row>
    <row r="571" spans="2:7" x14ac:dyDescent="0.2">
      <c r="B571" s="9"/>
      <c r="C571" s="9"/>
      <c r="D571" s="9"/>
      <c r="E571" s="9"/>
      <c r="F571" s="9"/>
      <c r="G571" s="9"/>
    </row>
    <row r="572" spans="2:7" x14ac:dyDescent="0.2">
      <c r="B572" s="9"/>
      <c r="C572" s="9"/>
      <c r="D572" s="9"/>
      <c r="E572" s="9"/>
      <c r="F572" s="9"/>
      <c r="G572" s="9"/>
    </row>
    <row r="573" spans="2:7" x14ac:dyDescent="0.2">
      <c r="B573" s="9"/>
      <c r="C573" s="9"/>
      <c r="D573" s="9"/>
      <c r="E573" s="9"/>
      <c r="F573" s="9"/>
      <c r="G573" s="9"/>
    </row>
    <row r="574" spans="2:7" x14ac:dyDescent="0.2">
      <c r="B574" s="9"/>
      <c r="C574" s="9"/>
      <c r="D574" s="9"/>
      <c r="E574" s="9"/>
      <c r="F574" s="9"/>
      <c r="G574" s="9"/>
    </row>
    <row r="575" spans="2:7" x14ac:dyDescent="0.2">
      <c r="B575" s="9"/>
      <c r="C575" s="9"/>
      <c r="D575" s="9"/>
      <c r="E575" s="9"/>
      <c r="F575" s="9"/>
      <c r="G575" s="9"/>
    </row>
    <row r="576" spans="2:7" x14ac:dyDescent="0.2">
      <c r="B576" s="9"/>
      <c r="C576" s="9"/>
      <c r="D576" s="9"/>
      <c r="E576" s="9"/>
      <c r="F576" s="9"/>
      <c r="G576" s="9"/>
    </row>
    <row r="577" spans="2:7" x14ac:dyDescent="0.2">
      <c r="B577" s="9"/>
      <c r="C577" s="9"/>
      <c r="D577" s="9"/>
      <c r="E577" s="9"/>
      <c r="F577" s="9"/>
      <c r="G577" s="9"/>
    </row>
    <row r="578" spans="2:7" x14ac:dyDescent="0.2">
      <c r="B578" s="9"/>
      <c r="C578" s="9"/>
      <c r="D578" s="9"/>
      <c r="E578" s="9"/>
      <c r="F578" s="9"/>
      <c r="G578" s="9"/>
    </row>
    <row r="579" spans="2:7" x14ac:dyDescent="0.2">
      <c r="B579" s="9"/>
      <c r="C579" s="9"/>
      <c r="D579" s="9"/>
      <c r="E579" s="9"/>
      <c r="F579" s="9"/>
      <c r="G579" s="9"/>
    </row>
    <row r="580" spans="2:7" x14ac:dyDescent="0.2">
      <c r="B580" s="9"/>
      <c r="C580" s="9"/>
      <c r="D580" s="9"/>
      <c r="E580" s="9"/>
      <c r="F580" s="9"/>
      <c r="G580" s="9"/>
    </row>
    <row r="581" spans="2:7" x14ac:dyDescent="0.2">
      <c r="B581" s="9"/>
      <c r="C581" s="9"/>
      <c r="D581" s="9"/>
      <c r="E581" s="9"/>
      <c r="F581" s="9"/>
      <c r="G581" s="9"/>
    </row>
    <row r="582" spans="2:7" x14ac:dyDescent="0.2">
      <c r="B582" s="9"/>
      <c r="C582" s="9"/>
      <c r="D582" s="9"/>
      <c r="E582" s="9"/>
      <c r="F582" s="9"/>
      <c r="G582" s="9"/>
    </row>
    <row r="583" spans="2:7" x14ac:dyDescent="0.2">
      <c r="B583" s="9"/>
      <c r="C583" s="9"/>
      <c r="D583" s="9"/>
      <c r="E583" s="9"/>
      <c r="F583" s="9"/>
      <c r="G583" s="9"/>
    </row>
    <row r="584" spans="2:7" x14ac:dyDescent="0.2">
      <c r="B584" s="9"/>
      <c r="C584" s="9"/>
      <c r="D584" s="9"/>
      <c r="E584" s="9"/>
      <c r="F584" s="9"/>
      <c r="G584" s="9"/>
    </row>
    <row r="585" spans="2:7" x14ac:dyDescent="0.2">
      <c r="B585" s="9"/>
      <c r="C585" s="9"/>
      <c r="D585" s="9"/>
      <c r="E585" s="9"/>
      <c r="F585" s="9"/>
      <c r="G585" s="9"/>
    </row>
    <row r="586" spans="2:7" x14ac:dyDescent="0.2">
      <c r="B586" s="9"/>
      <c r="C586" s="9"/>
      <c r="D586" s="9"/>
      <c r="E586" s="9"/>
      <c r="F586" s="9"/>
      <c r="G586" s="9"/>
    </row>
    <row r="587" spans="2:7" x14ac:dyDescent="0.2">
      <c r="B587" s="9"/>
      <c r="C587" s="9"/>
      <c r="D587" s="9"/>
      <c r="E587" s="9"/>
      <c r="F587" s="9"/>
      <c r="G587" s="9"/>
    </row>
    <row r="588" spans="2:7" x14ac:dyDescent="0.2">
      <c r="B588" s="9"/>
      <c r="C588" s="9"/>
      <c r="D588" s="9"/>
      <c r="E588" s="9"/>
      <c r="F588" s="9"/>
      <c r="G588" s="9"/>
    </row>
    <row r="589" spans="2:7" x14ac:dyDescent="0.2">
      <c r="B589" s="9"/>
      <c r="C589" s="9"/>
      <c r="D589" s="9"/>
      <c r="E589" s="9"/>
      <c r="F589" s="9"/>
      <c r="G589" s="9"/>
    </row>
    <row r="590" spans="2:7" x14ac:dyDescent="0.2">
      <c r="B590" s="9"/>
      <c r="C590" s="9"/>
      <c r="D590" s="9"/>
      <c r="E590" s="9"/>
      <c r="F590" s="9"/>
      <c r="G590" s="9"/>
    </row>
    <row r="591" spans="2:7" x14ac:dyDescent="0.2">
      <c r="B591" s="9"/>
      <c r="C591" s="9"/>
      <c r="D591" s="9"/>
      <c r="E591" s="9"/>
      <c r="F591" s="9"/>
      <c r="G591" s="9"/>
    </row>
    <row r="592" spans="2:7" x14ac:dyDescent="0.2">
      <c r="B592" s="9"/>
      <c r="C592" s="9"/>
      <c r="D592" s="9"/>
      <c r="E592" s="9"/>
      <c r="F592" s="9"/>
      <c r="G592" s="9"/>
    </row>
    <row r="593" spans="2:7" x14ac:dyDescent="0.2">
      <c r="B593" s="9"/>
      <c r="C593" s="9"/>
      <c r="D593" s="9"/>
      <c r="E593" s="9"/>
      <c r="F593" s="9"/>
      <c r="G593" s="9"/>
    </row>
    <row r="594" spans="2:7" x14ac:dyDescent="0.2">
      <c r="B594" s="9"/>
      <c r="C594" s="9"/>
      <c r="D594" s="9"/>
      <c r="E594" s="9"/>
      <c r="F594" s="9"/>
      <c r="G594" s="9"/>
    </row>
    <row r="595" spans="2:7" x14ac:dyDescent="0.2">
      <c r="B595" s="9"/>
      <c r="C595" s="9"/>
      <c r="D595" s="9"/>
      <c r="E595" s="9"/>
      <c r="F595" s="9"/>
      <c r="G595" s="9"/>
    </row>
    <row r="596" spans="2:7" x14ac:dyDescent="0.2">
      <c r="B596" s="9"/>
      <c r="C596" s="9"/>
      <c r="D596" s="9"/>
      <c r="E596" s="9"/>
      <c r="F596" s="9"/>
      <c r="G596" s="9"/>
    </row>
    <row r="597" spans="2:7" x14ac:dyDescent="0.2">
      <c r="B597" s="9"/>
      <c r="C597" s="9"/>
      <c r="D597" s="9"/>
      <c r="E597" s="9"/>
      <c r="F597" s="9"/>
      <c r="G597" s="9"/>
    </row>
    <row r="598" spans="2:7" x14ac:dyDescent="0.2">
      <c r="B598" s="9"/>
      <c r="C598" s="9"/>
      <c r="D598" s="9"/>
      <c r="E598" s="9"/>
      <c r="F598" s="9"/>
      <c r="G598" s="9"/>
    </row>
    <row r="599" spans="2:7" x14ac:dyDescent="0.2">
      <c r="B599" s="9"/>
      <c r="C599" s="9"/>
      <c r="D599" s="9"/>
      <c r="E599" s="9"/>
      <c r="F599" s="9"/>
      <c r="G599" s="9"/>
    </row>
    <row r="600" spans="2:7" x14ac:dyDescent="0.2">
      <c r="B600" s="9"/>
      <c r="C600" s="9"/>
      <c r="D600" s="9"/>
      <c r="E600" s="9"/>
      <c r="F600" s="9"/>
      <c r="G600" s="9"/>
    </row>
    <row r="601" spans="2:7" x14ac:dyDescent="0.2">
      <c r="B601" s="9"/>
      <c r="C601" s="9"/>
      <c r="D601" s="9"/>
      <c r="E601" s="9"/>
      <c r="F601" s="9"/>
      <c r="G601" s="9"/>
    </row>
    <row r="602" spans="2:7" x14ac:dyDescent="0.2">
      <c r="B602" s="9"/>
      <c r="C602" s="9"/>
      <c r="D602" s="9"/>
      <c r="E602" s="9"/>
      <c r="F602" s="9"/>
      <c r="G602" s="9"/>
    </row>
    <row r="603" spans="2:7" x14ac:dyDescent="0.2">
      <c r="B603" s="9"/>
      <c r="C603" s="9"/>
      <c r="D603" s="9"/>
      <c r="E603" s="9"/>
      <c r="F603" s="9"/>
      <c r="G603" s="9"/>
    </row>
    <row r="604" spans="2:7" x14ac:dyDescent="0.2">
      <c r="B604" s="9"/>
      <c r="C604" s="9"/>
      <c r="D604" s="9"/>
      <c r="E604" s="9"/>
      <c r="F604" s="9"/>
      <c r="G604" s="9"/>
    </row>
    <row r="605" spans="2:7" x14ac:dyDescent="0.2">
      <c r="B605" s="9"/>
      <c r="C605" s="9"/>
      <c r="D605" s="9"/>
      <c r="E605" s="9"/>
      <c r="F605" s="9"/>
      <c r="G605" s="9"/>
    </row>
    <row r="606" spans="2:7" x14ac:dyDescent="0.2">
      <c r="B606" s="9"/>
      <c r="C606" s="9"/>
      <c r="D606" s="9"/>
      <c r="E606" s="9"/>
      <c r="F606" s="9"/>
      <c r="G606" s="9"/>
    </row>
    <row r="607" spans="2:7" x14ac:dyDescent="0.2">
      <c r="B607" s="9"/>
      <c r="C607" s="9"/>
      <c r="D607" s="9"/>
      <c r="E607" s="9"/>
      <c r="F607" s="9"/>
      <c r="G607" s="9"/>
    </row>
    <row r="608" spans="2:7" x14ac:dyDescent="0.2">
      <c r="B608" s="9"/>
      <c r="C608" s="9"/>
      <c r="D608" s="9"/>
      <c r="E608" s="9"/>
      <c r="F608" s="9"/>
      <c r="G608" s="9"/>
    </row>
    <row r="609" spans="2:7" x14ac:dyDescent="0.2">
      <c r="B609" s="9"/>
      <c r="C609" s="9"/>
      <c r="D609" s="9"/>
      <c r="E609" s="9"/>
      <c r="F609" s="9"/>
      <c r="G609" s="9"/>
    </row>
    <row r="610" spans="2:7" x14ac:dyDescent="0.2">
      <c r="B610" s="9"/>
      <c r="C610" s="9"/>
      <c r="D610" s="9"/>
      <c r="E610" s="9"/>
      <c r="F610" s="9"/>
      <c r="G610" s="9"/>
    </row>
    <row r="611" spans="2:7" x14ac:dyDescent="0.2">
      <c r="B611" s="9"/>
      <c r="C611" s="9"/>
      <c r="D611" s="9"/>
      <c r="E611" s="9"/>
      <c r="F611" s="9"/>
      <c r="G611" s="9"/>
    </row>
    <row r="612" spans="2:7" x14ac:dyDescent="0.2">
      <c r="B612" s="9"/>
      <c r="C612" s="9"/>
      <c r="D612" s="9"/>
      <c r="E612" s="9"/>
      <c r="F612" s="9"/>
      <c r="G612" s="9"/>
    </row>
    <row r="613" spans="2:7" x14ac:dyDescent="0.2">
      <c r="B613" s="9"/>
      <c r="C613" s="9"/>
      <c r="D613" s="9"/>
      <c r="E613" s="9"/>
      <c r="F613" s="9"/>
      <c r="G613" s="9"/>
    </row>
    <row r="614" spans="2:7" x14ac:dyDescent="0.2">
      <c r="B614" s="9"/>
      <c r="C614" s="9"/>
      <c r="D614" s="9"/>
      <c r="E614" s="9"/>
      <c r="F614" s="9"/>
      <c r="G614" s="9"/>
    </row>
    <row r="615" spans="2:7" x14ac:dyDescent="0.2">
      <c r="B615" s="9"/>
      <c r="C615" s="9"/>
      <c r="D615" s="9"/>
      <c r="E615" s="9"/>
      <c r="F615" s="9"/>
      <c r="G615" s="9"/>
    </row>
    <row r="616" spans="2:7" x14ac:dyDescent="0.2">
      <c r="B616" s="9"/>
      <c r="C616" s="9"/>
      <c r="D616" s="9"/>
      <c r="E616" s="9"/>
      <c r="F616" s="9"/>
      <c r="G616" s="9"/>
    </row>
    <row r="617" spans="2:7" x14ac:dyDescent="0.2">
      <c r="B617" s="9"/>
      <c r="C617" s="9"/>
      <c r="D617" s="9"/>
      <c r="E617" s="9"/>
      <c r="F617" s="9"/>
      <c r="G617" s="9"/>
    </row>
    <row r="618" spans="2:7" x14ac:dyDescent="0.2">
      <c r="B618" s="9"/>
      <c r="C618" s="9"/>
      <c r="D618" s="9"/>
      <c r="E618" s="9"/>
      <c r="F618" s="9"/>
      <c r="G618" s="9"/>
    </row>
    <row r="619" spans="2:7" x14ac:dyDescent="0.2">
      <c r="B619" s="9"/>
      <c r="C619" s="9"/>
      <c r="D619" s="9"/>
      <c r="E619" s="9"/>
      <c r="F619" s="9"/>
      <c r="G619" s="9"/>
    </row>
    <row r="620" spans="2:7" x14ac:dyDescent="0.2">
      <c r="B620" s="9"/>
      <c r="C620" s="9"/>
      <c r="D620" s="9"/>
      <c r="E620" s="9"/>
      <c r="F620" s="9"/>
      <c r="G620" s="9"/>
    </row>
    <row r="621" spans="2:7" x14ac:dyDescent="0.2">
      <c r="B621" s="9"/>
      <c r="C621" s="9"/>
      <c r="D621" s="9"/>
      <c r="E621" s="9"/>
      <c r="F621" s="9"/>
      <c r="G621" s="9"/>
    </row>
    <row r="622" spans="2:7" x14ac:dyDescent="0.2">
      <c r="B622" s="9"/>
      <c r="C622" s="9"/>
      <c r="D622" s="9"/>
      <c r="E622" s="9"/>
      <c r="F622" s="9"/>
      <c r="G622" s="9"/>
    </row>
    <row r="623" spans="2:7" x14ac:dyDescent="0.2">
      <c r="B623" s="9"/>
      <c r="C623" s="9"/>
      <c r="D623" s="9"/>
      <c r="E623" s="9"/>
      <c r="F623" s="9"/>
      <c r="G623" s="9"/>
    </row>
    <row r="624" spans="2:7" x14ac:dyDescent="0.2">
      <c r="B624" s="9"/>
      <c r="C624" s="9"/>
      <c r="D624" s="9"/>
      <c r="E624" s="9"/>
      <c r="F624" s="9"/>
      <c r="G624" s="9"/>
    </row>
    <row r="625" spans="2:7" x14ac:dyDescent="0.2">
      <c r="B625" s="9"/>
      <c r="C625" s="9"/>
      <c r="D625" s="9"/>
      <c r="E625" s="9"/>
      <c r="F625" s="9"/>
      <c r="G625" s="9"/>
    </row>
    <row r="626" spans="2:7" x14ac:dyDescent="0.2">
      <c r="B626" s="9"/>
      <c r="C626" s="9"/>
      <c r="D626" s="9"/>
      <c r="E626" s="9"/>
      <c r="F626" s="9"/>
      <c r="G626" s="9"/>
    </row>
    <row r="627" spans="2:7" x14ac:dyDescent="0.2">
      <c r="B627" s="9"/>
      <c r="C627" s="9"/>
      <c r="D627" s="9"/>
      <c r="E627" s="9"/>
      <c r="F627" s="9"/>
      <c r="G627" s="9"/>
    </row>
    <row r="628" spans="2:7" x14ac:dyDescent="0.2">
      <c r="B628" s="9"/>
      <c r="C628" s="9"/>
      <c r="D628" s="9"/>
      <c r="E628" s="9"/>
      <c r="F628" s="9"/>
      <c r="G628" s="9"/>
    </row>
    <row r="629" spans="2:7" x14ac:dyDescent="0.2">
      <c r="B629" s="9"/>
      <c r="C629" s="9"/>
      <c r="D629" s="9"/>
      <c r="E629" s="9"/>
      <c r="F629" s="9"/>
      <c r="G629" s="9"/>
    </row>
    <row r="630" spans="2:7" x14ac:dyDescent="0.2">
      <c r="B630" s="9"/>
      <c r="C630" s="9"/>
      <c r="D630" s="9"/>
      <c r="E630" s="9"/>
      <c r="F630" s="9"/>
      <c r="G630" s="9"/>
    </row>
    <row r="631" spans="2:7" x14ac:dyDescent="0.2">
      <c r="B631" s="9"/>
      <c r="C631" s="9"/>
      <c r="D631" s="9"/>
      <c r="E631" s="9"/>
      <c r="F631" s="9"/>
      <c r="G631" s="9"/>
    </row>
    <row r="632" spans="2:7" x14ac:dyDescent="0.2">
      <c r="B632" s="9"/>
      <c r="C632" s="9"/>
      <c r="D632" s="9"/>
      <c r="E632" s="9"/>
      <c r="F632" s="9"/>
      <c r="G632" s="9"/>
    </row>
    <row r="633" spans="2:7" x14ac:dyDescent="0.2">
      <c r="B633" s="9"/>
      <c r="C633" s="9"/>
      <c r="D633" s="9"/>
      <c r="E633" s="9"/>
      <c r="F633" s="9"/>
      <c r="G633" s="9"/>
    </row>
    <row r="634" spans="2:7" x14ac:dyDescent="0.2">
      <c r="B634" s="9"/>
      <c r="C634" s="9"/>
      <c r="D634" s="9"/>
      <c r="E634" s="9"/>
      <c r="F634" s="9"/>
      <c r="G634" s="9"/>
    </row>
    <row r="635" spans="2:7" x14ac:dyDescent="0.2">
      <c r="B635" s="9"/>
      <c r="C635" s="9"/>
      <c r="D635" s="9"/>
      <c r="E635" s="9"/>
      <c r="F635" s="9"/>
      <c r="G635" s="9"/>
    </row>
    <row r="636" spans="2:7" x14ac:dyDescent="0.2">
      <c r="B636" s="9"/>
      <c r="C636" s="9"/>
      <c r="D636" s="9"/>
      <c r="E636" s="9"/>
      <c r="F636" s="9"/>
      <c r="G636" s="9"/>
    </row>
    <row r="637" spans="2:7" x14ac:dyDescent="0.2">
      <c r="B637" s="9"/>
      <c r="C637" s="9"/>
      <c r="D637" s="9"/>
      <c r="E637" s="9"/>
      <c r="F637" s="9"/>
      <c r="G637" s="9"/>
    </row>
    <row r="638" spans="2:7" x14ac:dyDescent="0.2">
      <c r="B638" s="9"/>
      <c r="C638" s="9"/>
      <c r="D638" s="9"/>
      <c r="E638" s="9"/>
      <c r="F638" s="9"/>
      <c r="G638" s="9"/>
    </row>
    <row r="639" spans="2:7" x14ac:dyDescent="0.2">
      <c r="B639" s="9"/>
      <c r="C639" s="9"/>
      <c r="D639" s="9"/>
      <c r="E639" s="9"/>
      <c r="F639" s="9"/>
      <c r="G639" s="9"/>
    </row>
    <row r="640" spans="2:7" x14ac:dyDescent="0.2">
      <c r="B640" s="9"/>
      <c r="C640" s="9"/>
      <c r="D640" s="9"/>
      <c r="E640" s="9"/>
      <c r="F640" s="9"/>
      <c r="G640" s="9"/>
    </row>
    <row r="641" spans="2:7" x14ac:dyDescent="0.2">
      <c r="B641" s="9"/>
      <c r="C641" s="9"/>
      <c r="D641" s="9"/>
      <c r="E641" s="9"/>
      <c r="F641" s="9"/>
      <c r="G641" s="9"/>
    </row>
    <row r="642" spans="2:7" x14ac:dyDescent="0.2">
      <c r="B642" s="9"/>
      <c r="C642" s="9"/>
      <c r="D642" s="9"/>
      <c r="E642" s="9"/>
      <c r="F642" s="9"/>
      <c r="G642" s="9"/>
    </row>
    <row r="643" spans="2:7" x14ac:dyDescent="0.2">
      <c r="B643" s="9"/>
      <c r="C643" s="9"/>
      <c r="D643" s="9"/>
      <c r="E643" s="9"/>
      <c r="F643" s="9"/>
      <c r="G643" s="9"/>
    </row>
    <row r="644" spans="2:7" x14ac:dyDescent="0.2">
      <c r="B644" s="9"/>
      <c r="C644" s="9"/>
      <c r="D644" s="9"/>
      <c r="E644" s="9"/>
      <c r="F644" s="9"/>
      <c r="G644" s="9"/>
    </row>
    <row r="645" spans="2:7" x14ac:dyDescent="0.2">
      <c r="B645" s="9"/>
      <c r="C645" s="9"/>
      <c r="D645" s="9"/>
      <c r="E645" s="9"/>
      <c r="F645" s="9"/>
      <c r="G645" s="9"/>
    </row>
    <row r="646" spans="2:7" x14ac:dyDescent="0.2">
      <c r="B646" s="9"/>
      <c r="C646" s="9"/>
      <c r="D646" s="9"/>
      <c r="E646" s="9"/>
      <c r="F646" s="9"/>
      <c r="G646" s="9"/>
    </row>
    <row r="647" spans="2:7" x14ac:dyDescent="0.2">
      <c r="B647" s="9"/>
      <c r="C647" s="9"/>
      <c r="D647" s="9"/>
      <c r="E647" s="9"/>
      <c r="F647" s="9"/>
      <c r="G647" s="9"/>
    </row>
    <row r="648" spans="2:7" x14ac:dyDescent="0.2">
      <c r="B648" s="9"/>
      <c r="C648" s="9"/>
      <c r="D648" s="9"/>
      <c r="E648" s="9"/>
      <c r="F648" s="9"/>
      <c r="G648" s="9"/>
    </row>
    <row r="649" spans="2:7" x14ac:dyDescent="0.2">
      <c r="B649" s="9"/>
      <c r="C649" s="9"/>
      <c r="D649" s="9"/>
      <c r="E649" s="9"/>
      <c r="F649" s="9"/>
      <c r="G649" s="9"/>
    </row>
    <row r="650" spans="2:7" x14ac:dyDescent="0.2">
      <c r="B650" s="9"/>
      <c r="C650" s="9"/>
      <c r="D650" s="9"/>
      <c r="E650" s="9"/>
      <c r="F650" s="9"/>
      <c r="G650" s="9"/>
    </row>
    <row r="651" spans="2:7" x14ac:dyDescent="0.2">
      <c r="B651" s="9"/>
      <c r="C651" s="9"/>
      <c r="D651" s="9"/>
      <c r="E651" s="9"/>
      <c r="F651" s="9"/>
      <c r="G651" s="9"/>
    </row>
    <row r="652" spans="2:7" x14ac:dyDescent="0.2">
      <c r="B652" s="9"/>
      <c r="C652" s="9"/>
      <c r="D652" s="9"/>
      <c r="E652" s="9"/>
      <c r="F652" s="9"/>
      <c r="G652" s="9"/>
    </row>
    <row r="653" spans="2:7" x14ac:dyDescent="0.2">
      <c r="B653" s="9"/>
      <c r="C653" s="9"/>
      <c r="D653" s="9"/>
      <c r="E653" s="9"/>
      <c r="F653" s="9"/>
      <c r="G653" s="9"/>
    </row>
    <row r="654" spans="2:7" x14ac:dyDescent="0.2">
      <c r="B654" s="9"/>
      <c r="C654" s="9"/>
      <c r="D654" s="9"/>
      <c r="E654" s="9"/>
      <c r="F654" s="9"/>
      <c r="G654" s="9"/>
    </row>
    <row r="655" spans="2:7" x14ac:dyDescent="0.2">
      <c r="B655" s="9"/>
      <c r="C655" s="9"/>
      <c r="D655" s="9"/>
      <c r="E655" s="9"/>
      <c r="F655" s="9"/>
      <c r="G655" s="9"/>
    </row>
    <row r="656" spans="2:7" x14ac:dyDescent="0.2">
      <c r="B656" s="9"/>
      <c r="C656" s="9"/>
      <c r="D656" s="9"/>
      <c r="E656" s="9"/>
      <c r="F656" s="9"/>
      <c r="G656" s="9"/>
    </row>
    <row r="657" spans="2:7" x14ac:dyDescent="0.2">
      <c r="B657" s="9"/>
      <c r="C657" s="9"/>
      <c r="D657" s="9"/>
      <c r="E657" s="9"/>
      <c r="F657" s="9"/>
      <c r="G657" s="9"/>
    </row>
    <row r="658" spans="2:7" x14ac:dyDescent="0.2">
      <c r="B658" s="9"/>
      <c r="C658" s="9"/>
      <c r="D658" s="9"/>
      <c r="E658" s="9"/>
      <c r="F658" s="9"/>
      <c r="G658" s="9"/>
    </row>
    <row r="659" spans="2:7" x14ac:dyDescent="0.2">
      <c r="B659" s="9"/>
      <c r="C659" s="9"/>
      <c r="D659" s="9"/>
      <c r="E659" s="9"/>
      <c r="F659" s="9"/>
      <c r="G659" s="9"/>
    </row>
    <row r="660" spans="2:7" x14ac:dyDescent="0.2">
      <c r="B660" s="9"/>
      <c r="C660" s="9"/>
      <c r="D660" s="9"/>
      <c r="E660" s="9"/>
      <c r="F660" s="9"/>
      <c r="G660" s="9"/>
    </row>
    <row r="661" spans="2:7" x14ac:dyDescent="0.2">
      <c r="B661" s="9"/>
      <c r="C661" s="9"/>
      <c r="D661" s="9"/>
      <c r="E661" s="9"/>
      <c r="F661" s="9"/>
      <c r="G661" s="9"/>
    </row>
    <row r="662" spans="2:7" x14ac:dyDescent="0.2">
      <c r="B662" s="9"/>
      <c r="C662" s="9"/>
      <c r="D662" s="9"/>
      <c r="E662" s="9"/>
      <c r="F662" s="9"/>
      <c r="G662" s="9"/>
    </row>
    <row r="663" spans="2:7" x14ac:dyDescent="0.2">
      <c r="B663" s="9"/>
      <c r="C663" s="9"/>
      <c r="D663" s="9"/>
      <c r="E663" s="9"/>
      <c r="F663" s="9"/>
      <c r="G663" s="9"/>
    </row>
    <row r="664" spans="2:7" x14ac:dyDescent="0.2">
      <c r="B664" s="9"/>
      <c r="C664" s="9"/>
      <c r="D664" s="9"/>
      <c r="E664" s="9"/>
      <c r="F664" s="9"/>
      <c r="G664" s="9"/>
    </row>
    <row r="665" spans="2:7" x14ac:dyDescent="0.2">
      <c r="B665" s="9"/>
      <c r="C665" s="9"/>
      <c r="D665" s="9"/>
      <c r="E665" s="9"/>
      <c r="F665" s="9"/>
      <c r="G665" s="9"/>
    </row>
    <row r="666" spans="2:7" x14ac:dyDescent="0.2">
      <c r="B666" s="9"/>
      <c r="C666" s="9"/>
      <c r="D666" s="9"/>
      <c r="E666" s="9"/>
      <c r="F666" s="9"/>
      <c r="G666" s="9"/>
    </row>
  </sheetData>
  <sheetProtection algorithmName="SHA-512" hashValue="QeSpu2KWYqiLNhwv4TjwuL2SY9i2l+kkkoa3kmET8dUyj4uY6WdnnWni/Cl3RXRxQzG0vjupaU8odO5hgWGAww==" saltValue="l/IbbyBC35kXOI23DC7wsA==" spinCount="100000" sheet="1" objects="1" scenarios="1"/>
  <dataConsolidate/>
  <mergeCells count="117">
    <mergeCell ref="E10:G11"/>
    <mergeCell ref="J13:L15"/>
    <mergeCell ref="D53:G53"/>
    <mergeCell ref="D52:G52"/>
    <mergeCell ref="H14:I14"/>
    <mergeCell ref="B97:O98"/>
    <mergeCell ref="B52:B53"/>
    <mergeCell ref="B19:C19"/>
    <mergeCell ref="B20:C20"/>
    <mergeCell ref="B21:C21"/>
    <mergeCell ref="B22:B24"/>
    <mergeCell ref="B25:C25"/>
    <mergeCell ref="F63:G63"/>
    <mergeCell ref="F64:G64"/>
    <mergeCell ref="F65:G65"/>
    <mergeCell ref="F58:G58"/>
    <mergeCell ref="F59:G59"/>
    <mergeCell ref="F60:G60"/>
    <mergeCell ref="F61:G61"/>
    <mergeCell ref="F62:G62"/>
    <mergeCell ref="B27:C27"/>
    <mergeCell ref="B28:C28"/>
    <mergeCell ref="B29:B32"/>
    <mergeCell ref="B33:C33"/>
    <mergeCell ref="H21:H37"/>
    <mergeCell ref="B174:C174"/>
    <mergeCell ref="B165:C165"/>
    <mergeCell ref="B166:C166"/>
    <mergeCell ref="B172:C172"/>
    <mergeCell ref="B141:C141"/>
    <mergeCell ref="B142:C142"/>
    <mergeCell ref="B143:C143"/>
    <mergeCell ref="H114:I114"/>
    <mergeCell ref="B117:C117"/>
    <mergeCell ref="B115:C115"/>
    <mergeCell ref="B161:C161"/>
    <mergeCell ref="H116:H117"/>
    <mergeCell ref="B100:O100"/>
    <mergeCell ref="B106:C106"/>
    <mergeCell ref="B102:C103"/>
    <mergeCell ref="D102:E102"/>
    <mergeCell ref="F102:G102"/>
    <mergeCell ref="F114:G114"/>
    <mergeCell ref="F116:F117"/>
    <mergeCell ref="B89:B92"/>
    <mergeCell ref="B69:C69"/>
    <mergeCell ref="B122:K127"/>
    <mergeCell ref="B144:C144"/>
    <mergeCell ref="I75:J75"/>
    <mergeCell ref="I74:J74"/>
    <mergeCell ref="I73:J73"/>
    <mergeCell ref="B73:B75"/>
    <mergeCell ref="B77:B87"/>
    <mergeCell ref="B113:C113"/>
    <mergeCell ref="H102:I102"/>
    <mergeCell ref="J114:K114"/>
    <mergeCell ref="J116:J117"/>
    <mergeCell ref="B34:C34"/>
    <mergeCell ref="F55:G55"/>
    <mergeCell ref="F56:G56"/>
    <mergeCell ref="B51:C51"/>
    <mergeCell ref="B68:C68"/>
    <mergeCell ref="B55:B56"/>
    <mergeCell ref="B66:B67"/>
    <mergeCell ref="B58:B64"/>
    <mergeCell ref="F57:G57"/>
    <mergeCell ref="B36:C36"/>
    <mergeCell ref="B189:C189"/>
    <mergeCell ref="B190:C190"/>
    <mergeCell ref="B191:C191"/>
    <mergeCell ref="B182:C182"/>
    <mergeCell ref="B183:C183"/>
    <mergeCell ref="B184:C184"/>
    <mergeCell ref="B185:C185"/>
    <mergeCell ref="B186:C186"/>
    <mergeCell ref="B177:C177"/>
    <mergeCell ref="B178:C178"/>
    <mergeCell ref="B179:C179"/>
    <mergeCell ref="B180:C180"/>
    <mergeCell ref="B181:C181"/>
    <mergeCell ref="B187:C187"/>
    <mergeCell ref="B188:C188"/>
    <mergeCell ref="B176:C176"/>
    <mergeCell ref="B167:C167"/>
    <mergeCell ref="B168:C168"/>
    <mergeCell ref="B173:C173"/>
    <mergeCell ref="I133:K133"/>
    <mergeCell ref="B134:C134"/>
    <mergeCell ref="B151:C151"/>
    <mergeCell ref="B152:C152"/>
    <mergeCell ref="B153:C153"/>
    <mergeCell ref="B146:C146"/>
    <mergeCell ref="B147:C147"/>
    <mergeCell ref="B148:C148"/>
    <mergeCell ref="B149:C149"/>
    <mergeCell ref="B150:C150"/>
    <mergeCell ref="B136:C136"/>
    <mergeCell ref="B137:C137"/>
    <mergeCell ref="B138:C138"/>
    <mergeCell ref="B139:C139"/>
    <mergeCell ref="B175:C175"/>
    <mergeCell ref="B169:C169"/>
    <mergeCell ref="B145:C145"/>
    <mergeCell ref="B164:C164"/>
    <mergeCell ref="B140:C140"/>
    <mergeCell ref="B135:C135"/>
    <mergeCell ref="B170:C170"/>
    <mergeCell ref="B171:C171"/>
    <mergeCell ref="B162:C162"/>
    <mergeCell ref="B163:C163"/>
    <mergeCell ref="B104:C104"/>
    <mergeCell ref="B105:C105"/>
    <mergeCell ref="B155:O155"/>
    <mergeCell ref="B130:O130"/>
    <mergeCell ref="B112:O112"/>
    <mergeCell ref="B107:C107"/>
    <mergeCell ref="B116:C116"/>
  </mergeCells>
  <conditionalFormatting sqref="B162:F191">
    <cfRule type="notContainsBlanks" dxfId="93" priority="65">
      <formula>LEN(TRIM(B162))&gt;0</formula>
    </cfRule>
  </conditionalFormatting>
  <conditionalFormatting sqref="B135:L153">
    <cfRule type="notContainsBlanks" dxfId="92" priority="63">
      <formula>LEN(TRIM(B135))&gt;0</formula>
    </cfRule>
  </conditionalFormatting>
  <conditionalFormatting sqref="D104:I107">
    <cfRule type="expression" dxfId="88" priority="26">
      <formula>$C$16="EUR"</formula>
    </cfRule>
    <cfRule type="expression" dxfId="87" priority="29">
      <formula>$C$16="GBP"</formula>
    </cfRule>
    <cfRule type="expression" dxfId="86" priority="25">
      <formula>$C$16="USD"</formula>
    </cfRule>
  </conditionalFormatting>
  <conditionalFormatting sqref="E12:E13">
    <cfRule type="expression" dxfId="85" priority="150">
      <formula>$C$12="Yes"</formula>
    </cfRule>
  </conditionalFormatting>
  <conditionalFormatting sqref="E135:F153 H135:I153 K135:L153">
    <cfRule type="expression" dxfId="83" priority="74">
      <formula>$C$16="EUR"</formula>
    </cfRule>
    <cfRule type="expression" dxfId="82" priority="73">
      <formula>$C$16="USD"</formula>
    </cfRule>
    <cfRule type="expression" dxfId="81" priority="72">
      <formula>$C$16="GBP"</formula>
    </cfRule>
  </conditionalFormatting>
  <conditionalFormatting sqref="F12:F13">
    <cfRule type="expression" dxfId="80" priority="224">
      <formula>$C$12="Yes"</formula>
    </cfRule>
    <cfRule type="expression" dxfId="79" priority="223">
      <formula>$C$12="No"</formula>
    </cfRule>
  </conditionalFormatting>
  <conditionalFormatting sqref="F116:G117">
    <cfRule type="expression" dxfId="77" priority="46">
      <formula>$C$16="GBP"</formula>
    </cfRule>
    <cfRule type="expression" dxfId="76" priority="44">
      <formula>$C$16="USD"</formula>
    </cfRule>
    <cfRule type="expression" dxfId="75" priority="45">
      <formula>$C$16="EUR"</formula>
    </cfRule>
  </conditionalFormatting>
  <conditionalFormatting sqref="H52:H54">
    <cfRule type="expression" dxfId="74" priority="115">
      <formula>D52="Yes"</formula>
    </cfRule>
  </conditionalFormatting>
  <conditionalFormatting sqref="H55">
    <cfRule type="expression" dxfId="73" priority="190">
      <formula>C12="Yes"</formula>
    </cfRule>
  </conditionalFormatting>
  <conditionalFormatting sqref="H56:H57">
    <cfRule type="expression" dxfId="72" priority="184">
      <formula>$F$56="Yes"</formula>
    </cfRule>
  </conditionalFormatting>
  <conditionalFormatting sqref="H58">
    <cfRule type="expression" dxfId="71" priority="186">
      <formula>$F$58="Yes"</formula>
    </cfRule>
  </conditionalFormatting>
  <conditionalFormatting sqref="H59">
    <cfRule type="expression" dxfId="70" priority="183">
      <formula>$F$59="Yes"</formula>
    </cfRule>
  </conditionalFormatting>
  <conditionalFormatting sqref="H60">
    <cfRule type="expression" dxfId="69" priority="185">
      <formula>$F$60="Yes"</formula>
    </cfRule>
  </conditionalFormatting>
  <conditionalFormatting sqref="H61">
    <cfRule type="expression" dxfId="68" priority="33">
      <formula>AND($F$61="Yes",$F$58="Yes")</formula>
    </cfRule>
    <cfRule type="expression" dxfId="67" priority="178">
      <formula>$F$61="Yes"</formula>
    </cfRule>
  </conditionalFormatting>
  <conditionalFormatting sqref="H62">
    <cfRule type="expression" dxfId="66" priority="175">
      <formula>$F$62="Yes"</formula>
    </cfRule>
  </conditionalFormatting>
  <conditionalFormatting sqref="H63">
    <cfRule type="expression" dxfId="65" priority="174">
      <formula>$F$63="Yes"</formula>
    </cfRule>
  </conditionalFormatting>
  <conditionalFormatting sqref="H65">
    <cfRule type="expression" dxfId="64" priority="172">
      <formula>$F$65="Yes"</formula>
    </cfRule>
  </conditionalFormatting>
  <conditionalFormatting sqref="H66">
    <cfRule type="expression" dxfId="63" priority="62">
      <formula>$G$67="Yes"</formula>
    </cfRule>
    <cfRule type="expression" dxfId="62" priority="171">
      <formula>AND($G$66="Yes",$G$67="optional")</formula>
    </cfRule>
  </conditionalFormatting>
  <conditionalFormatting sqref="H67">
    <cfRule type="expression" dxfId="61" priority="170">
      <formula>$G$67="Yes"</formula>
    </cfRule>
  </conditionalFormatting>
  <conditionalFormatting sqref="H73">
    <cfRule type="expression" dxfId="60" priority="13">
      <formula>$G$73="Yes"</formula>
    </cfRule>
  </conditionalFormatting>
  <conditionalFormatting sqref="H74">
    <cfRule type="expression" dxfId="59" priority="14">
      <formula>$G$74="Yes"</formula>
    </cfRule>
  </conditionalFormatting>
  <conditionalFormatting sqref="H75">
    <cfRule type="expression" dxfId="58" priority="112">
      <formula>$G$75="Yes"</formula>
    </cfRule>
  </conditionalFormatting>
  <conditionalFormatting sqref="H77">
    <cfRule type="expression" dxfId="57" priority="111">
      <formula>$G$77="Yes"</formula>
    </cfRule>
  </conditionalFormatting>
  <conditionalFormatting sqref="H78">
    <cfRule type="expression" dxfId="56" priority="59">
      <formula>$G$78="Yes"</formula>
    </cfRule>
  </conditionalFormatting>
  <conditionalFormatting sqref="H79">
    <cfRule type="expression" dxfId="55" priority="42">
      <formula>$G$79="Yes"</formula>
    </cfRule>
  </conditionalFormatting>
  <conditionalFormatting sqref="H80">
    <cfRule type="expression" dxfId="54" priority="60">
      <formula>$G$80="Yes"</formula>
    </cfRule>
  </conditionalFormatting>
  <conditionalFormatting sqref="H81">
    <cfRule type="expression" dxfId="53" priority="9">
      <formula>$G$81="Yes"</formula>
    </cfRule>
  </conditionalFormatting>
  <conditionalFormatting sqref="H82">
    <cfRule type="expression" dxfId="52" priority="12">
      <formula>$G$82="Yes"</formula>
    </cfRule>
  </conditionalFormatting>
  <conditionalFormatting sqref="H83">
    <cfRule type="expression" dxfId="51" priority="8">
      <formula>$G$83="Yes"</formula>
    </cfRule>
  </conditionalFormatting>
  <conditionalFormatting sqref="H84">
    <cfRule type="expression" dxfId="50" priority="5">
      <formula>$G$84="Yes"</formula>
    </cfRule>
  </conditionalFormatting>
  <conditionalFormatting sqref="H85">
    <cfRule type="expression" dxfId="49" priority="10">
      <formula>$G$85="Yes"</formula>
    </cfRule>
  </conditionalFormatting>
  <conditionalFormatting sqref="H86">
    <cfRule type="expression" dxfId="48" priority="7">
      <formula>$G$86="Yes"</formula>
    </cfRule>
  </conditionalFormatting>
  <conditionalFormatting sqref="H87">
    <cfRule type="expression" dxfId="47" priority="6">
      <formula>$G$87="Yes"</formula>
    </cfRule>
  </conditionalFormatting>
  <conditionalFormatting sqref="H89">
    <cfRule type="expression" dxfId="46" priority="2">
      <formula>$G$89="Yes"</formula>
    </cfRule>
  </conditionalFormatting>
  <conditionalFormatting sqref="H90">
    <cfRule type="expression" dxfId="45" priority="4">
      <formula>$G$90="Yes"</formula>
    </cfRule>
  </conditionalFormatting>
  <conditionalFormatting sqref="H91">
    <cfRule type="expression" dxfId="44" priority="1">
      <formula>$G$91="Yes"</formula>
    </cfRule>
  </conditionalFormatting>
  <conditionalFormatting sqref="H92">
    <cfRule type="expression" dxfId="43" priority="3">
      <formula>$G$92="Yes"</formula>
    </cfRule>
  </conditionalFormatting>
  <conditionalFormatting sqref="H116:K116 I117 K117">
    <cfRule type="expression" dxfId="42" priority="79">
      <formula>$C$16="GBP"</formula>
    </cfRule>
    <cfRule type="expression" dxfId="41" priority="77">
      <formula>$C$16="USD"</formula>
    </cfRule>
    <cfRule type="expression" dxfId="40" priority="78">
      <formula>$C$16="EUR"</formula>
    </cfRule>
  </conditionalFormatting>
  <conditionalFormatting sqref="I52:I54">
    <cfRule type="expression" dxfId="39" priority="194">
      <formula>D52="Optional"</formula>
    </cfRule>
    <cfRule type="expression" dxfId="38" priority="195">
      <formula>D52="Yes"</formula>
    </cfRule>
  </conditionalFormatting>
  <conditionalFormatting sqref="I55">
    <cfRule type="expression" dxfId="37" priority="188">
      <formula>"C12=""No"""</formula>
    </cfRule>
    <cfRule type="expression" dxfId="36" priority="189">
      <formula>C12="Yes"</formula>
    </cfRule>
  </conditionalFormatting>
  <conditionalFormatting sqref="I56:I57">
    <cfRule type="expression" dxfId="35" priority="179">
      <formula>$F$56="Yes"</formula>
    </cfRule>
    <cfRule type="expression" dxfId="34" priority="152">
      <formula>$F$56="Optional"</formula>
    </cfRule>
  </conditionalFormatting>
  <conditionalFormatting sqref="I58">
    <cfRule type="expression" dxfId="33" priority="61">
      <formula>$F$58="Optional"</formula>
    </cfRule>
    <cfRule type="expression" dxfId="32" priority="182">
      <formula>$F$58="Yes"</formula>
    </cfRule>
  </conditionalFormatting>
  <conditionalFormatting sqref="I59">
    <cfRule type="expression" dxfId="31" priority="180">
      <formula>$F$59="Yes"</formula>
    </cfRule>
    <cfRule type="expression" dxfId="30" priority="151">
      <formula>$F$59="Optional"</formula>
    </cfRule>
  </conditionalFormatting>
  <conditionalFormatting sqref="I60">
    <cfRule type="expression" dxfId="29" priority="99">
      <formula>$F60="Optional"</formula>
    </cfRule>
  </conditionalFormatting>
  <conditionalFormatting sqref="I62">
    <cfRule type="expression" dxfId="28" priority="159">
      <formula>$F$62="Optional"</formula>
    </cfRule>
    <cfRule type="expression" dxfId="27" priority="160">
      <formula>$F$62="Yes"</formula>
    </cfRule>
  </conditionalFormatting>
  <conditionalFormatting sqref="I63">
    <cfRule type="expression" dxfId="26" priority="157">
      <formula>$F$63="Optional"</formula>
    </cfRule>
    <cfRule type="expression" dxfId="25" priority="158">
      <formula>$F$63="Yes"</formula>
    </cfRule>
  </conditionalFormatting>
  <conditionalFormatting sqref="I65">
    <cfRule type="expression" dxfId="24" priority="153">
      <formula>$F$65="Optional"</formula>
    </cfRule>
    <cfRule type="expression" dxfId="23" priority="154">
      <formula>$F$65="Yes"</formula>
    </cfRule>
  </conditionalFormatting>
  <conditionalFormatting sqref="I66">
    <cfRule type="expression" dxfId="22" priority="168">
      <formula>OR($G$66="Optional",$G$67="Yes")</formula>
    </cfRule>
    <cfRule type="expression" dxfId="21" priority="169">
      <formula>AND($G$66="Yes",$G$67="Optional")</formula>
    </cfRule>
  </conditionalFormatting>
  <conditionalFormatting sqref="I67">
    <cfRule type="expression" dxfId="20" priority="166">
      <formula>$G$67="Optional"</formula>
    </cfRule>
    <cfRule type="expression" dxfId="19" priority="167">
      <formula>$G$67="Yes"</formula>
    </cfRule>
  </conditionalFormatting>
  <conditionalFormatting sqref="I60:J60">
    <cfRule type="expression" dxfId="18" priority="38">
      <formula>$F$60="Yes"</formula>
    </cfRule>
  </conditionalFormatting>
  <conditionalFormatting sqref="I61:J61">
    <cfRule type="expression" dxfId="17" priority="163">
      <formula>$F$61="Optional"</formula>
    </cfRule>
    <cfRule type="expression" dxfId="16" priority="164">
      <formula>$F$61="Yes"</formula>
    </cfRule>
    <cfRule type="expression" dxfId="15" priority="32">
      <formula>AND($F$61="Yes",$F$58="Yes")</formula>
    </cfRule>
  </conditionalFormatting>
  <conditionalFormatting sqref="J52">
    <cfRule type="expression" dxfId="14" priority="257">
      <formula>D52="Yes"</formula>
    </cfRule>
  </conditionalFormatting>
  <conditionalFormatting sqref="J58">
    <cfRule type="expression" dxfId="13" priority="41">
      <formula>$F$58="Yes"</formula>
    </cfRule>
    <cfRule type="expression" dxfId="12" priority="40">
      <formula>$F$58="Optional"</formula>
    </cfRule>
  </conditionalFormatting>
  <conditionalFormatting sqref="J60">
    <cfRule type="expression" dxfId="11" priority="39">
      <formula>$F$60="Optional"</formula>
    </cfRule>
  </conditionalFormatting>
  <conditionalFormatting sqref="J55:N55">
    <cfRule type="expression" dxfId="10" priority="187">
      <formula>$C$12="Yes"</formula>
    </cfRule>
  </conditionalFormatting>
  <conditionalFormatting sqref="K52">
    <cfRule type="expression" dxfId="9" priority="260">
      <formula>D52="Optional"</formula>
    </cfRule>
    <cfRule type="expression" dxfId="8" priority="261">
      <formula>D52="Yes"</formula>
    </cfRule>
  </conditionalFormatting>
  <dataValidations xWindow="413" yWindow="483" count="13">
    <dataValidation type="list" allowBlank="1" showInputMessage="1" showErrorMessage="1" sqref="C12:C14" xr:uid="{D93D5BD9-FCC3-4D20-97BF-3C4D85C19499}">
      <formula1>"Yes,No"</formula1>
    </dataValidation>
    <dataValidation type="custom" errorStyle="information" allowBlank="1" showErrorMessage="1" errorTitle="Enter the amount of cores" error="Please enter how many cores need to be licensed. Minimum is 16 cores. Only whole and even numbers are allowed" promptTitle="Cores" prompt="Please enter how many cores need to be licensed. Minimum is 16 cores" sqref="C11" xr:uid="{C2701922-2869-4C47-B270-34C96EFD886C}">
      <formula1>MOD(C11,2)=0</formula1>
    </dataValidation>
    <dataValidation type="list" errorStyle="information" allowBlank="1" showErrorMessage="1" errorTitle="Please note:" error="A server has 1,2 or 4 CPU's.  Other values are not valid!_x000a_" sqref="C10" xr:uid="{C3942DA2-E2AE-4153-8388-EC4F467D6A33}">
      <formula1>"1,2,4"</formula1>
    </dataValidation>
    <dataValidation type="whole" errorStyle="information" allowBlank="1" showErrorMessage="1" errorTitle="Total amount of servers" error="How many servers are there to be licensed" sqref="C9" xr:uid="{2A89029A-4149-4F8D-9E1E-F4080869EB10}">
      <formula1>1</formula1>
      <formula2>1000</formula2>
    </dataValidation>
    <dataValidation type="decimal" errorStyle="information" allowBlank="1" errorTitle="Fill the total vsan amount" error="Minimum is 1 TiB per 2 cores " sqref="F12" xr:uid="{103A6BED-6179-4771-885D-191DFEC70D3E}">
      <formula1>0</formula1>
      <formula2>1000000000000</formula2>
    </dataValidation>
    <dataValidation type="list" allowBlank="1" showInputMessage="1" showErrorMessage="1" sqref="G66:G67 D52 F58:F60 G89:G92 G77:G87 F56 G72:G75 F62:F63" xr:uid="{1DE55C73-71BA-4795-9AFE-27DAAC58872D}">
      <formula1>"Optional,Yes"</formula1>
    </dataValidation>
    <dataValidation type="decimal" allowBlank="1" showInputMessage="1" showErrorMessage="1" sqref="I52:I54" xr:uid="{465DF4E0-A488-4241-905C-7F7162298813}">
      <formula1>0</formula1>
      <formula2>1000</formula2>
    </dataValidation>
    <dataValidation type="whole" allowBlank="1" sqref="I56:I57 I59" xr:uid="{533194E1-1CA0-471E-892F-E273A7486393}">
      <formula1>1</formula1>
      <formula2>10000</formula2>
    </dataValidation>
    <dataValidation type="list" errorStyle="information" showErrorMessage="1" errorTitle="vSphere version" error="Only vSphere 8 includes vSAN trail license.  Select vSphere 8 or vSphere 7" sqref="F13" xr:uid="{B697B92B-3EFF-4274-833F-9FCE7C96887E}">
      <formula1>"vSphere 8,vSphere 7"</formula1>
    </dataValidation>
    <dataValidation type="list" allowBlank="1" showInputMessage="1" showErrorMessage="1" sqref="D53:G53" xr:uid="{687D0145-D2E3-4D12-82F2-E11E2CE300C1}">
      <formula1>"Optional, Yes"</formula1>
    </dataValidation>
    <dataValidation type="list" allowBlank="1" showInputMessage="1" showErrorMessage="1" promptTitle="Options" prompt="Managed=SaaS + Unmanaged_x000a_Self-managed= Local only" sqref="J60" xr:uid="{406DE9D4-C0FF-410C-8CB5-59F39D3DF436}">
      <formula1>"Managed,Self-managed"</formula1>
    </dataValidation>
    <dataValidation type="list" allowBlank="1" showInputMessage="1" promptTitle="Options" prompt="Managed=SaaS + Unmanaged_x000a_Self-managed= Local only" sqref="J58" xr:uid="{492FE40A-1A9D-4293-AF27-1C42E638DB41}">
      <formula1>"Managed,Self-managed"</formula1>
    </dataValidation>
    <dataValidation allowBlank="1" showInputMessage="1" showErrorMessage="1" promptTitle="Options" prompt="Managed=SaaS + Unmanaged_x000a_Self-managed= Local only" sqref="J61" xr:uid="{5DD8BCCB-F5B9-4A65-911D-9F2D21C05946}"/>
  </dataValidations>
  <hyperlinks>
    <hyperlink ref="J56" location="'NSX AVI'!A1" display="How to size?" xr:uid="{A3557C9C-E0D8-4530-BD3F-4DB251EDC9B2}"/>
    <hyperlink ref="B7" location="'Release notes'!A1" display="Version 25" xr:uid="{7A5ABF5F-DE80-42B7-B887-59C7A0E7AF5C}"/>
    <hyperlink ref="C50" r:id="rId1" xr:uid="{BBFB579A-4172-471E-8ACC-92F88556C1DD}"/>
  </hyperlinks>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x14:cfRule type="expression" priority="21" id="{AACFA4AC-F202-4651-95A3-A693924B19C6}">
            <xm:f>AND('vSphere Pricing'!$B$9="0",'vSphere Pricing'!$B$11="1")</xm:f>
            <x14:dxf>
              <font>
                <color theme="0"/>
              </font>
              <fill>
                <patternFill>
                  <bgColor rgb="FFFF0000"/>
                </patternFill>
              </fill>
            </x14:dxf>
          </x14:cfRule>
          <xm:sqref>B116:E116 G116 I116 K116</xm:sqref>
        </x14:conditionalFormatting>
        <x14:conditionalFormatting xmlns:xm="http://schemas.microsoft.com/office/excel/2006/main">
          <x14:cfRule type="expression" priority="27" id="{675C6518-6D4D-4729-A945-0EE119438F45}">
            <xm:f>'vSphere Pricing'!$B$7="0"</xm:f>
            <x14:dxf>
              <font>
                <color theme="0"/>
              </font>
              <fill>
                <patternFill>
                  <bgColor rgb="FFFF0000"/>
                </patternFill>
              </fill>
            </x14:dxf>
          </x14:cfRule>
          <xm:sqref>D19:D20 D55:D93</xm:sqref>
        </x14:conditionalFormatting>
        <x14:conditionalFormatting xmlns:xm="http://schemas.microsoft.com/office/excel/2006/main">
          <x14:cfRule type="expression" priority="20" id="{4AC26C66-672B-4FAB-99C0-4D3D46D68D3B}">
            <xm:f>'vSphere Pricing'!$B$8="0"</xm:f>
            <x14:dxf>
              <font>
                <color theme="0"/>
              </font>
              <fill>
                <patternFill>
                  <bgColor rgb="FFFF0000"/>
                </patternFill>
              </fill>
            </x14:dxf>
          </x14:cfRule>
          <xm:sqref>D21 E55:E93</xm:sqref>
        </x14:conditionalFormatting>
        <x14:conditionalFormatting xmlns:xm="http://schemas.microsoft.com/office/excel/2006/main">
          <x14:cfRule type="expression" priority="31" id="{987CA0DF-079F-47BC-8194-649351DD469D}">
            <xm:f>'vSphere Pricing'!$B$7="0"</xm:f>
            <x14:dxf>
              <font>
                <color theme="0"/>
              </font>
              <fill>
                <patternFill>
                  <bgColor rgb="FFFF0000"/>
                </patternFill>
              </fill>
            </x14:dxf>
          </x14:cfRule>
          <xm:sqref>D22:D51 B104:I104</xm:sqref>
        </x14:conditionalFormatting>
        <x14:conditionalFormatting xmlns:xm="http://schemas.microsoft.com/office/excel/2006/main">
          <x14:cfRule type="expression" priority="30" id="{FB450B50-4170-4C79-9FCB-C886010E0713}">
            <xm:f>'vSphere Pricing'!$B$8="0"</xm:f>
            <x14:dxf>
              <font>
                <color theme="0"/>
              </font>
              <fill>
                <patternFill>
                  <bgColor rgb="FFFF0000"/>
                </patternFill>
              </fill>
            </x14:dxf>
          </x14:cfRule>
          <xm:sqref>E19:E51 B105:I105</xm:sqref>
        </x14:conditionalFormatting>
        <x14:conditionalFormatting xmlns:xm="http://schemas.microsoft.com/office/excel/2006/main">
          <x14:cfRule type="expression" priority="22" id="{F4A436DE-6E7A-4EAC-A412-F85A27A73C71}">
            <xm:f>'vSphere Pricing'!$B$9="0"</xm:f>
            <x14:dxf>
              <font>
                <color theme="0"/>
              </font>
              <fill>
                <patternFill>
                  <bgColor rgb="FFFF0000"/>
                </patternFill>
              </fill>
            </x14:dxf>
          </x14:cfRule>
          <xm:sqref>F19:F51 F66:F93 B106:I106</xm:sqref>
        </x14:conditionalFormatting>
      </x14:conditionalFormattings>
    </ext>
    <ext xmlns:x14="http://schemas.microsoft.com/office/spreadsheetml/2009/9/main" uri="{CCE6A557-97BC-4b89-ADB6-D9C93CAAB3DF}">
      <x14:dataValidations xmlns:xm="http://schemas.microsoft.com/office/excel/2006/main" xWindow="413" yWindow="483" count="2">
        <x14:dataValidation type="list" allowBlank="1" showInputMessage="1" showErrorMessage="1" xr:uid="{E466ECC7-01B1-41DA-AF28-694C9CE1497C}">
          <x14:formula1>
            <xm:f>OFFSET('Currency and Contacts'!$D$20,1,0,MAX('Currency and Contacts'!$B:$B),1)</xm:f>
          </x14:formula1>
          <xm:sqref>H15</xm:sqref>
        </x14:dataValidation>
        <x14:dataValidation type="list" allowBlank="1" showInputMessage="1" showErrorMessage="1" xr:uid="{5A870C54-4630-43EA-A3D9-E7059559709E}">
          <x14:formula1>
            <xm:f>OFFSET('Currency and Contacts'!$H$20,1,0,MAX('Currency and Contacts'!$G:$G),1)</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3C4E-EB90-44CB-B7D0-4A573E08505B}">
  <dimension ref="D2:G8"/>
  <sheetViews>
    <sheetView workbookViewId="0"/>
  </sheetViews>
  <sheetFormatPr defaultRowHeight="15" x14ac:dyDescent="0.25"/>
  <cols>
    <col min="4" max="4" width="80.7109375" bestFit="1" customWidth="1"/>
    <col min="5" max="5" width="38.42578125" customWidth="1"/>
    <col min="6" max="6" width="33.140625" customWidth="1"/>
    <col min="7" max="7" width="38.85546875" bestFit="1" customWidth="1"/>
  </cols>
  <sheetData>
    <row r="2" spans="4:7" x14ac:dyDescent="0.25">
      <c r="F2">
        <v>100</v>
      </c>
      <c r="G2" t="s">
        <v>131</v>
      </c>
    </row>
    <row r="4" spans="4:7" ht="30" x14ac:dyDescent="0.25">
      <c r="D4" s="241" t="s">
        <v>132</v>
      </c>
      <c r="E4" s="242" t="s">
        <v>133</v>
      </c>
      <c r="F4">
        <v>100</v>
      </c>
    </row>
    <row r="5" spans="4:7" ht="30" x14ac:dyDescent="0.25">
      <c r="D5" s="241" t="s">
        <v>134</v>
      </c>
      <c r="E5" t="s">
        <v>135</v>
      </c>
      <c r="F5">
        <v>400</v>
      </c>
    </row>
    <row r="6" spans="4:7" ht="45" x14ac:dyDescent="0.25">
      <c r="D6" s="241" t="s">
        <v>136</v>
      </c>
      <c r="E6" t="s">
        <v>137</v>
      </c>
      <c r="F6">
        <v>100</v>
      </c>
    </row>
    <row r="7" spans="4:7" ht="30" x14ac:dyDescent="0.25">
      <c r="D7" s="241" t="s">
        <v>138</v>
      </c>
      <c r="E7" t="s">
        <v>139</v>
      </c>
      <c r="F7">
        <v>25</v>
      </c>
    </row>
    <row r="8" spans="4:7" ht="45" x14ac:dyDescent="0.25">
      <c r="D8" s="241" t="s">
        <v>140</v>
      </c>
      <c r="E8" t="s">
        <v>141</v>
      </c>
      <c r="F8" s="241" t="s">
        <v>142</v>
      </c>
      <c r="G8"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49490-C276-4BD5-8738-F60207EDC561}">
  <dimension ref="B3:E186"/>
  <sheetViews>
    <sheetView topLeftCell="A25" workbookViewId="0">
      <selection activeCell="B49" sqref="B49"/>
    </sheetView>
  </sheetViews>
  <sheetFormatPr defaultColWidth="9.140625" defaultRowHeight="15" x14ac:dyDescent="0.25"/>
  <cols>
    <col min="1" max="1" width="9.140625" style="1"/>
    <col min="2" max="2" width="9.140625" style="230"/>
    <col min="3" max="3" width="17.85546875" style="230" customWidth="1"/>
    <col min="4" max="4" width="16" style="230" customWidth="1"/>
    <col min="5" max="5" width="91.85546875" style="1" customWidth="1"/>
    <col min="6" max="16384" width="9.140625" style="1"/>
  </cols>
  <sheetData>
    <row r="3" spans="2:5" x14ac:dyDescent="0.25">
      <c r="B3" s="413" t="s">
        <v>144</v>
      </c>
      <c r="C3" s="413"/>
    </row>
    <row r="4" spans="2:5" x14ac:dyDescent="0.25">
      <c r="B4" s="413"/>
      <c r="C4" s="413"/>
    </row>
    <row r="9" spans="2:5" x14ac:dyDescent="0.25">
      <c r="B9" s="231" t="s">
        <v>145</v>
      </c>
    </row>
    <row r="12" spans="2:5" x14ac:dyDescent="0.25">
      <c r="B12" s="238" t="s">
        <v>146</v>
      </c>
      <c r="C12" s="238" t="s">
        <v>147</v>
      </c>
      <c r="D12" s="238" t="s">
        <v>148</v>
      </c>
      <c r="E12" s="239" t="s">
        <v>149</v>
      </c>
    </row>
    <row r="13" spans="2:5" x14ac:dyDescent="0.25">
      <c r="B13" s="414" t="s">
        <v>150</v>
      </c>
      <c r="C13" s="417">
        <v>45454</v>
      </c>
      <c r="D13" s="235" t="s">
        <v>6</v>
      </c>
      <c r="E13" s="233" t="s">
        <v>151</v>
      </c>
    </row>
    <row r="14" spans="2:5" x14ac:dyDescent="0.25">
      <c r="B14" s="415"/>
      <c r="C14" s="418"/>
      <c r="D14" s="236"/>
      <c r="E14" s="233" t="s">
        <v>152</v>
      </c>
    </row>
    <row r="15" spans="2:5" x14ac:dyDescent="0.25">
      <c r="B15" s="415"/>
      <c r="C15" s="418"/>
      <c r="D15" s="236"/>
      <c r="E15" s="233" t="s">
        <v>153</v>
      </c>
    </row>
    <row r="16" spans="2:5" x14ac:dyDescent="0.25">
      <c r="B16" s="415"/>
      <c r="C16" s="418"/>
      <c r="D16" s="236"/>
      <c r="E16" s="233" t="s">
        <v>154</v>
      </c>
    </row>
    <row r="17" spans="2:5" x14ac:dyDescent="0.25">
      <c r="B17" s="415"/>
      <c r="C17" s="418"/>
      <c r="D17" s="236"/>
      <c r="E17" s="233" t="s">
        <v>155</v>
      </c>
    </row>
    <row r="18" spans="2:5" x14ac:dyDescent="0.25">
      <c r="B18" s="415"/>
      <c r="C18" s="418"/>
      <c r="D18" s="236"/>
      <c r="E18" s="233" t="s">
        <v>156</v>
      </c>
    </row>
    <row r="19" spans="2:5" ht="30" x14ac:dyDescent="0.25">
      <c r="B19" s="416"/>
      <c r="C19" s="419"/>
      <c r="D19" s="237"/>
      <c r="E19" s="234" t="s">
        <v>157</v>
      </c>
    </row>
    <row r="20" spans="2:5" x14ac:dyDescent="0.25">
      <c r="B20" s="410"/>
      <c r="C20" s="411"/>
      <c r="D20" s="411"/>
      <c r="E20" s="412"/>
    </row>
    <row r="21" spans="2:5" x14ac:dyDescent="0.25">
      <c r="B21" s="414" t="s">
        <v>158</v>
      </c>
      <c r="C21" s="417">
        <v>45467</v>
      </c>
      <c r="D21" s="414" t="s">
        <v>8</v>
      </c>
      <c r="E21" s="233" t="s">
        <v>159</v>
      </c>
    </row>
    <row r="22" spans="2:5" x14ac:dyDescent="0.25">
      <c r="B22" s="416"/>
      <c r="C22" s="419"/>
      <c r="D22" s="416"/>
      <c r="E22" s="233" t="s">
        <v>160</v>
      </c>
    </row>
    <row r="23" spans="2:5" x14ac:dyDescent="0.25">
      <c r="B23" s="410"/>
      <c r="C23" s="411"/>
      <c r="D23" s="411"/>
      <c r="E23" s="412"/>
    </row>
    <row r="24" spans="2:5" x14ac:dyDescent="0.25">
      <c r="B24" s="414" t="s">
        <v>161</v>
      </c>
      <c r="C24" s="417">
        <v>45497</v>
      </c>
      <c r="D24" s="414" t="s">
        <v>6</v>
      </c>
      <c r="E24" s="233" t="s">
        <v>162</v>
      </c>
    </row>
    <row r="25" spans="2:5" ht="45" x14ac:dyDescent="0.25">
      <c r="B25" s="415"/>
      <c r="C25" s="418"/>
      <c r="D25" s="415"/>
      <c r="E25" s="240" t="s">
        <v>163</v>
      </c>
    </row>
    <row r="26" spans="2:5" x14ac:dyDescent="0.25">
      <c r="B26" s="416"/>
      <c r="C26" s="419"/>
      <c r="D26" s="416"/>
      <c r="E26" s="233" t="s">
        <v>164</v>
      </c>
    </row>
    <row r="27" spans="2:5" x14ac:dyDescent="0.25">
      <c r="B27" s="410"/>
      <c r="C27" s="411"/>
      <c r="D27" s="411"/>
      <c r="E27" s="412"/>
    </row>
    <row r="28" spans="2:5" x14ac:dyDescent="0.25">
      <c r="B28" s="414" t="s">
        <v>165</v>
      </c>
      <c r="C28" s="414" t="s">
        <v>166</v>
      </c>
      <c r="D28" s="414" t="s">
        <v>6</v>
      </c>
      <c r="E28" s="233" t="s">
        <v>167</v>
      </c>
    </row>
    <row r="29" spans="2:5" x14ac:dyDescent="0.25">
      <c r="B29" s="415"/>
      <c r="C29" s="415"/>
      <c r="D29" s="415"/>
      <c r="E29" s="233" t="s">
        <v>168</v>
      </c>
    </row>
    <row r="30" spans="2:5" x14ac:dyDescent="0.25">
      <c r="B30" s="415"/>
      <c r="C30" s="415"/>
      <c r="D30" s="415"/>
      <c r="E30" s="233" t="s">
        <v>169</v>
      </c>
    </row>
    <row r="31" spans="2:5" x14ac:dyDescent="0.25">
      <c r="B31" s="415"/>
      <c r="C31" s="415"/>
      <c r="D31" s="415"/>
      <c r="E31" s="233" t="s">
        <v>170</v>
      </c>
    </row>
    <row r="32" spans="2:5" x14ac:dyDescent="0.25">
      <c r="B32" s="416"/>
      <c r="C32" s="416"/>
      <c r="D32" s="416"/>
      <c r="E32" s="233" t="s">
        <v>171</v>
      </c>
    </row>
    <row r="33" spans="2:5" x14ac:dyDescent="0.25">
      <c r="B33" s="407"/>
      <c r="C33" s="408"/>
      <c r="D33" s="408"/>
      <c r="E33" s="409"/>
    </row>
    <row r="34" spans="2:5" x14ac:dyDescent="0.25">
      <c r="B34" s="414" t="s">
        <v>172</v>
      </c>
      <c r="C34" s="417">
        <v>45607</v>
      </c>
      <c r="D34" s="414" t="s">
        <v>8</v>
      </c>
      <c r="E34" s="233" t="s">
        <v>173</v>
      </c>
    </row>
    <row r="35" spans="2:5" x14ac:dyDescent="0.25">
      <c r="B35" s="415"/>
      <c r="C35" s="418"/>
      <c r="D35" s="415"/>
      <c r="E35" s="233" t="s">
        <v>174</v>
      </c>
    </row>
    <row r="36" spans="2:5" x14ac:dyDescent="0.25">
      <c r="B36" s="415"/>
      <c r="C36" s="418"/>
      <c r="D36" s="415"/>
      <c r="E36" s="233" t="s">
        <v>175</v>
      </c>
    </row>
    <row r="37" spans="2:5" x14ac:dyDescent="0.25">
      <c r="B37" s="415"/>
      <c r="C37" s="418"/>
      <c r="D37" s="415"/>
      <c r="E37" s="233" t="s">
        <v>176</v>
      </c>
    </row>
    <row r="38" spans="2:5" x14ac:dyDescent="0.25">
      <c r="B38" s="415"/>
      <c r="C38" s="418"/>
      <c r="D38" s="415"/>
      <c r="E38" s="233" t="s">
        <v>177</v>
      </c>
    </row>
    <row r="39" spans="2:5" x14ac:dyDescent="0.25">
      <c r="B39" s="415"/>
      <c r="C39" s="418"/>
      <c r="D39" s="415"/>
      <c r="E39" s="233" t="s">
        <v>178</v>
      </c>
    </row>
    <row r="40" spans="2:5" x14ac:dyDescent="0.25">
      <c r="B40" s="415"/>
      <c r="C40" s="418"/>
      <c r="D40" s="415"/>
      <c r="E40" s="233" t="s">
        <v>179</v>
      </c>
    </row>
    <row r="41" spans="2:5" x14ac:dyDescent="0.25">
      <c r="B41" s="416"/>
      <c r="C41" s="419"/>
      <c r="D41" s="416"/>
      <c r="E41" s="233" t="s">
        <v>180</v>
      </c>
    </row>
    <row r="42" spans="2:5" x14ac:dyDescent="0.25">
      <c r="B42" s="407"/>
      <c r="C42" s="408"/>
      <c r="D42" s="408"/>
      <c r="E42" s="409"/>
    </row>
    <row r="43" spans="2:5" x14ac:dyDescent="0.25">
      <c r="B43" s="232" t="s">
        <v>181</v>
      </c>
      <c r="C43" s="317">
        <v>45608</v>
      </c>
      <c r="D43" s="232" t="s">
        <v>6</v>
      </c>
      <c r="E43" s="233" t="s">
        <v>182</v>
      </c>
    </row>
    <row r="44" spans="2:5" x14ac:dyDescent="0.25">
      <c r="B44" s="407"/>
      <c r="C44" s="408"/>
      <c r="D44" s="408"/>
      <c r="E44" s="409"/>
    </row>
    <row r="45" spans="2:5" x14ac:dyDescent="0.25">
      <c r="B45" s="232" t="s">
        <v>302</v>
      </c>
      <c r="C45" s="317">
        <v>45611</v>
      </c>
      <c r="D45" s="232" t="s">
        <v>8</v>
      </c>
      <c r="E45" s="233" t="s">
        <v>303</v>
      </c>
    </row>
    <row r="46" spans="2:5" x14ac:dyDescent="0.25">
      <c r="B46" s="319"/>
      <c r="C46" s="319"/>
      <c r="D46" s="319"/>
      <c r="E46" s="320"/>
    </row>
    <row r="47" spans="2:5" x14ac:dyDescent="0.25">
      <c r="B47" s="232" t="s">
        <v>304</v>
      </c>
      <c r="C47" s="317">
        <v>45617</v>
      </c>
      <c r="D47" s="232" t="s">
        <v>6</v>
      </c>
      <c r="E47" s="233" t="s">
        <v>305</v>
      </c>
    </row>
    <row r="48" spans="2:5" x14ac:dyDescent="0.25">
      <c r="B48" s="319"/>
      <c r="C48" s="319"/>
      <c r="D48" s="319"/>
      <c r="E48" s="320"/>
    </row>
    <row r="49" spans="2:5" x14ac:dyDescent="0.25">
      <c r="B49" s="232"/>
      <c r="C49" s="232"/>
      <c r="D49" s="232"/>
      <c r="E49" s="233"/>
    </row>
    <row r="50" spans="2:5" x14ac:dyDescent="0.25">
      <c r="B50" s="232"/>
      <c r="C50" s="232"/>
      <c r="D50" s="232"/>
      <c r="E50" s="233"/>
    </row>
    <row r="51" spans="2:5" x14ac:dyDescent="0.25">
      <c r="B51" s="232"/>
      <c r="C51" s="232"/>
      <c r="D51" s="232"/>
      <c r="E51" s="233"/>
    </row>
    <row r="52" spans="2:5" x14ac:dyDescent="0.25">
      <c r="B52" s="232"/>
      <c r="C52" s="232"/>
      <c r="D52" s="232"/>
      <c r="E52" s="233"/>
    </row>
    <row r="53" spans="2:5" x14ac:dyDescent="0.25">
      <c r="B53" s="232"/>
      <c r="C53" s="232"/>
      <c r="D53" s="232"/>
      <c r="E53" s="233"/>
    </row>
    <row r="54" spans="2:5" x14ac:dyDescent="0.25">
      <c r="B54" s="232"/>
      <c r="C54" s="232"/>
      <c r="D54" s="232"/>
      <c r="E54" s="233"/>
    </row>
    <row r="55" spans="2:5" x14ac:dyDescent="0.25">
      <c r="B55" s="232"/>
      <c r="C55" s="232"/>
      <c r="D55" s="232"/>
      <c r="E55" s="233"/>
    </row>
    <row r="56" spans="2:5" x14ac:dyDescent="0.25">
      <c r="B56" s="232"/>
      <c r="C56" s="232"/>
      <c r="D56" s="232"/>
      <c r="E56" s="233"/>
    </row>
    <row r="57" spans="2:5" x14ac:dyDescent="0.25">
      <c r="B57" s="232"/>
      <c r="C57" s="232"/>
      <c r="D57" s="232"/>
      <c r="E57" s="233"/>
    </row>
    <row r="58" spans="2:5" x14ac:dyDescent="0.25">
      <c r="B58" s="232"/>
      <c r="C58" s="232"/>
      <c r="D58" s="232"/>
      <c r="E58" s="233"/>
    </row>
    <row r="59" spans="2:5" x14ac:dyDescent="0.25">
      <c r="B59" s="232"/>
      <c r="C59" s="232"/>
      <c r="D59" s="232"/>
      <c r="E59" s="233"/>
    </row>
    <row r="60" spans="2:5" x14ac:dyDescent="0.25">
      <c r="B60" s="232"/>
      <c r="C60" s="232"/>
      <c r="D60" s="232"/>
      <c r="E60" s="233"/>
    </row>
    <row r="61" spans="2:5" x14ac:dyDescent="0.25">
      <c r="B61" s="232"/>
      <c r="C61" s="232"/>
      <c r="D61" s="232"/>
      <c r="E61" s="233"/>
    </row>
    <row r="62" spans="2:5" x14ac:dyDescent="0.25">
      <c r="B62" s="232"/>
      <c r="C62" s="232"/>
      <c r="D62" s="232"/>
      <c r="E62" s="233"/>
    </row>
    <row r="63" spans="2:5" x14ac:dyDescent="0.25">
      <c r="B63" s="232"/>
      <c r="C63" s="232"/>
      <c r="D63" s="232"/>
      <c r="E63" s="233"/>
    </row>
    <row r="64" spans="2:5" x14ac:dyDescent="0.25">
      <c r="B64" s="232"/>
      <c r="C64" s="232"/>
      <c r="D64" s="232"/>
      <c r="E64" s="233"/>
    </row>
    <row r="65" spans="2:5" x14ac:dyDescent="0.25">
      <c r="B65" s="232"/>
      <c r="C65" s="232"/>
      <c r="D65" s="232"/>
      <c r="E65" s="233"/>
    </row>
    <row r="66" spans="2:5" x14ac:dyDescent="0.25">
      <c r="B66" s="232"/>
      <c r="C66" s="232"/>
      <c r="D66" s="232"/>
      <c r="E66" s="233"/>
    </row>
    <row r="67" spans="2:5" x14ac:dyDescent="0.25">
      <c r="B67" s="232"/>
      <c r="C67" s="232"/>
      <c r="D67" s="232"/>
      <c r="E67" s="233"/>
    </row>
    <row r="68" spans="2:5" x14ac:dyDescent="0.25">
      <c r="B68" s="232"/>
      <c r="C68" s="232"/>
      <c r="D68" s="232"/>
      <c r="E68" s="233"/>
    </row>
    <row r="69" spans="2:5" x14ac:dyDescent="0.25">
      <c r="B69" s="232"/>
      <c r="C69" s="232"/>
      <c r="D69" s="232"/>
      <c r="E69" s="233"/>
    </row>
    <row r="70" spans="2:5" x14ac:dyDescent="0.25">
      <c r="B70" s="232"/>
      <c r="C70" s="232"/>
      <c r="D70" s="232"/>
      <c r="E70" s="233"/>
    </row>
    <row r="71" spans="2:5" x14ac:dyDescent="0.25">
      <c r="B71" s="232"/>
      <c r="C71" s="232"/>
      <c r="D71" s="232"/>
      <c r="E71" s="233"/>
    </row>
    <row r="72" spans="2:5" x14ac:dyDescent="0.25">
      <c r="B72" s="232"/>
      <c r="C72" s="232"/>
      <c r="D72" s="232"/>
      <c r="E72" s="233"/>
    </row>
    <row r="73" spans="2:5" x14ac:dyDescent="0.25">
      <c r="B73" s="232"/>
      <c r="C73" s="232"/>
      <c r="D73" s="232"/>
      <c r="E73" s="233"/>
    </row>
    <row r="74" spans="2:5" x14ac:dyDescent="0.25">
      <c r="B74" s="232"/>
      <c r="C74" s="232"/>
      <c r="D74" s="232"/>
      <c r="E74" s="233"/>
    </row>
    <row r="75" spans="2:5" x14ac:dyDescent="0.25">
      <c r="B75" s="232"/>
      <c r="C75" s="232"/>
      <c r="D75" s="232"/>
      <c r="E75" s="233"/>
    </row>
    <row r="76" spans="2:5" x14ac:dyDescent="0.25">
      <c r="B76" s="232"/>
      <c r="C76" s="232"/>
      <c r="D76" s="232"/>
      <c r="E76" s="233"/>
    </row>
    <row r="77" spans="2:5" x14ac:dyDescent="0.25">
      <c r="B77" s="232"/>
      <c r="C77" s="232"/>
      <c r="D77" s="232"/>
      <c r="E77" s="233"/>
    </row>
    <row r="78" spans="2:5" x14ac:dyDescent="0.25">
      <c r="B78" s="232"/>
      <c r="C78" s="232"/>
      <c r="D78" s="232"/>
      <c r="E78" s="233"/>
    </row>
    <row r="79" spans="2:5" x14ac:dyDescent="0.25">
      <c r="B79" s="232"/>
      <c r="C79" s="232"/>
      <c r="D79" s="232"/>
      <c r="E79" s="233"/>
    </row>
    <row r="80" spans="2:5" x14ac:dyDescent="0.25">
      <c r="B80" s="232"/>
      <c r="C80" s="232"/>
      <c r="D80" s="232"/>
      <c r="E80" s="233"/>
    </row>
    <row r="81" spans="2:5" x14ac:dyDescent="0.25">
      <c r="B81" s="232"/>
      <c r="C81" s="232"/>
      <c r="D81" s="232"/>
      <c r="E81" s="233"/>
    </row>
    <row r="82" spans="2:5" x14ac:dyDescent="0.25">
      <c r="B82" s="232"/>
      <c r="C82" s="232"/>
      <c r="D82" s="232"/>
      <c r="E82" s="233"/>
    </row>
    <row r="83" spans="2:5" x14ac:dyDescent="0.25">
      <c r="B83" s="232"/>
      <c r="C83" s="232"/>
      <c r="D83" s="232"/>
      <c r="E83" s="233"/>
    </row>
    <row r="84" spans="2:5" x14ac:dyDescent="0.25">
      <c r="B84" s="232"/>
      <c r="C84" s="232"/>
      <c r="D84" s="232"/>
      <c r="E84" s="233"/>
    </row>
    <row r="85" spans="2:5" x14ac:dyDescent="0.25">
      <c r="B85" s="232"/>
      <c r="C85" s="232"/>
      <c r="D85" s="232"/>
      <c r="E85" s="233"/>
    </row>
    <row r="86" spans="2:5" x14ac:dyDescent="0.25">
      <c r="B86" s="232"/>
      <c r="C86" s="232"/>
      <c r="D86" s="232"/>
      <c r="E86" s="233"/>
    </row>
    <row r="87" spans="2:5" x14ac:dyDescent="0.25">
      <c r="B87" s="232"/>
      <c r="C87" s="232"/>
      <c r="D87" s="232"/>
      <c r="E87" s="233"/>
    </row>
    <row r="88" spans="2:5" x14ac:dyDescent="0.25">
      <c r="B88" s="232"/>
      <c r="C88" s="232"/>
      <c r="D88" s="232"/>
      <c r="E88" s="233"/>
    </row>
    <row r="89" spans="2:5" x14ac:dyDescent="0.25">
      <c r="B89" s="232"/>
      <c r="C89" s="232"/>
      <c r="D89" s="232"/>
      <c r="E89" s="233"/>
    </row>
    <row r="90" spans="2:5" x14ac:dyDescent="0.25">
      <c r="B90" s="232"/>
      <c r="C90" s="232"/>
      <c r="D90" s="232"/>
      <c r="E90" s="233"/>
    </row>
    <row r="91" spans="2:5" x14ac:dyDescent="0.25">
      <c r="B91" s="232"/>
      <c r="C91" s="232"/>
      <c r="D91" s="232"/>
      <c r="E91" s="233"/>
    </row>
    <row r="92" spans="2:5" x14ac:dyDescent="0.25">
      <c r="B92" s="232"/>
      <c r="C92" s="232"/>
      <c r="D92" s="232"/>
      <c r="E92" s="233"/>
    </row>
    <row r="93" spans="2:5" x14ac:dyDescent="0.25">
      <c r="B93" s="232"/>
      <c r="C93" s="232"/>
      <c r="D93" s="232"/>
      <c r="E93" s="233"/>
    </row>
    <row r="94" spans="2:5" x14ac:dyDescent="0.25">
      <c r="B94" s="232"/>
      <c r="C94" s="232"/>
      <c r="D94" s="232"/>
      <c r="E94" s="233"/>
    </row>
    <row r="95" spans="2:5" x14ac:dyDescent="0.25">
      <c r="B95" s="232"/>
      <c r="C95" s="232"/>
      <c r="D95" s="232"/>
      <c r="E95" s="233"/>
    </row>
    <row r="96" spans="2:5" x14ac:dyDescent="0.25">
      <c r="B96" s="232"/>
      <c r="C96" s="232"/>
      <c r="D96" s="232"/>
      <c r="E96" s="233"/>
    </row>
    <row r="97" spans="2:5" x14ac:dyDescent="0.25">
      <c r="B97" s="232"/>
      <c r="C97" s="232"/>
      <c r="D97" s="232"/>
      <c r="E97" s="233"/>
    </row>
    <row r="98" spans="2:5" x14ac:dyDescent="0.25">
      <c r="B98" s="232"/>
      <c r="C98" s="232"/>
      <c r="D98" s="232"/>
      <c r="E98" s="233"/>
    </row>
    <row r="99" spans="2:5" x14ac:dyDescent="0.25">
      <c r="B99" s="232"/>
      <c r="C99" s="232"/>
      <c r="D99" s="232"/>
      <c r="E99" s="233"/>
    </row>
    <row r="100" spans="2:5" x14ac:dyDescent="0.25">
      <c r="B100" s="232"/>
      <c r="C100" s="232"/>
      <c r="D100" s="232"/>
      <c r="E100" s="233"/>
    </row>
    <row r="101" spans="2:5" x14ac:dyDescent="0.25">
      <c r="B101" s="232"/>
      <c r="C101" s="232"/>
      <c r="D101" s="232"/>
      <c r="E101" s="233"/>
    </row>
    <row r="102" spans="2:5" x14ac:dyDescent="0.25">
      <c r="B102" s="232"/>
      <c r="C102" s="232"/>
      <c r="D102" s="232"/>
      <c r="E102" s="233"/>
    </row>
    <row r="103" spans="2:5" x14ac:dyDescent="0.25">
      <c r="B103" s="232"/>
      <c r="C103" s="232"/>
      <c r="D103" s="232"/>
      <c r="E103" s="233"/>
    </row>
    <row r="104" spans="2:5" x14ac:dyDescent="0.25">
      <c r="B104" s="232"/>
      <c r="C104" s="232"/>
      <c r="D104" s="232"/>
      <c r="E104" s="233"/>
    </row>
    <row r="105" spans="2:5" x14ac:dyDescent="0.25">
      <c r="B105" s="232"/>
      <c r="C105" s="232"/>
      <c r="D105" s="232"/>
      <c r="E105" s="233"/>
    </row>
    <row r="106" spans="2:5" x14ac:dyDescent="0.25">
      <c r="B106" s="232"/>
      <c r="C106" s="232"/>
      <c r="D106" s="232"/>
      <c r="E106" s="233"/>
    </row>
    <row r="107" spans="2:5" x14ac:dyDescent="0.25">
      <c r="B107" s="232"/>
      <c r="C107" s="232"/>
      <c r="D107" s="232"/>
      <c r="E107" s="233"/>
    </row>
    <row r="108" spans="2:5" x14ac:dyDescent="0.25">
      <c r="B108" s="232"/>
      <c r="C108" s="232"/>
      <c r="D108" s="232"/>
      <c r="E108" s="233"/>
    </row>
    <row r="109" spans="2:5" x14ac:dyDescent="0.25">
      <c r="B109" s="232"/>
      <c r="C109" s="232"/>
      <c r="D109" s="232"/>
      <c r="E109" s="233"/>
    </row>
    <row r="110" spans="2:5" x14ac:dyDescent="0.25">
      <c r="B110" s="232"/>
      <c r="C110" s="232"/>
      <c r="D110" s="232"/>
      <c r="E110" s="233"/>
    </row>
    <row r="111" spans="2:5" x14ac:dyDescent="0.25">
      <c r="B111" s="232"/>
      <c r="C111" s="232"/>
      <c r="D111" s="232"/>
      <c r="E111" s="233"/>
    </row>
    <row r="112" spans="2:5" x14ac:dyDescent="0.25">
      <c r="B112" s="232"/>
      <c r="C112" s="232"/>
      <c r="D112" s="232"/>
      <c r="E112" s="233"/>
    </row>
    <row r="113" spans="2:5" x14ac:dyDescent="0.25">
      <c r="B113" s="232"/>
      <c r="C113" s="232"/>
      <c r="D113" s="232"/>
      <c r="E113" s="233"/>
    </row>
    <row r="114" spans="2:5" x14ac:dyDescent="0.25">
      <c r="B114" s="232"/>
      <c r="C114" s="232"/>
      <c r="D114" s="232"/>
      <c r="E114" s="233"/>
    </row>
    <row r="115" spans="2:5" x14ac:dyDescent="0.25">
      <c r="B115" s="232"/>
      <c r="C115" s="232"/>
      <c r="D115" s="232"/>
      <c r="E115" s="233"/>
    </row>
    <row r="116" spans="2:5" x14ac:dyDescent="0.25">
      <c r="B116" s="232"/>
      <c r="C116" s="232"/>
      <c r="D116" s="232"/>
      <c r="E116" s="233"/>
    </row>
    <row r="117" spans="2:5" x14ac:dyDescent="0.25">
      <c r="B117" s="232"/>
      <c r="C117" s="232"/>
      <c r="D117" s="232"/>
      <c r="E117" s="233"/>
    </row>
    <row r="118" spans="2:5" x14ac:dyDescent="0.25">
      <c r="B118" s="232"/>
      <c r="C118" s="232"/>
      <c r="D118" s="232"/>
      <c r="E118" s="233"/>
    </row>
    <row r="119" spans="2:5" x14ac:dyDescent="0.25">
      <c r="B119" s="232"/>
      <c r="C119" s="232"/>
      <c r="D119" s="232"/>
      <c r="E119" s="233"/>
    </row>
    <row r="120" spans="2:5" x14ac:dyDescent="0.25">
      <c r="B120" s="232"/>
      <c r="C120" s="232"/>
      <c r="D120" s="232"/>
      <c r="E120" s="233"/>
    </row>
    <row r="121" spans="2:5" x14ac:dyDescent="0.25">
      <c r="B121" s="232"/>
      <c r="C121" s="232"/>
      <c r="D121" s="232"/>
      <c r="E121" s="233"/>
    </row>
    <row r="122" spans="2:5" x14ac:dyDescent="0.25">
      <c r="B122" s="232"/>
      <c r="C122" s="232"/>
      <c r="D122" s="232"/>
      <c r="E122" s="233"/>
    </row>
    <row r="123" spans="2:5" x14ac:dyDescent="0.25">
      <c r="B123" s="232"/>
      <c r="C123" s="232"/>
      <c r="D123" s="232"/>
      <c r="E123" s="233"/>
    </row>
    <row r="124" spans="2:5" x14ac:dyDescent="0.25">
      <c r="B124" s="232"/>
      <c r="C124" s="232"/>
      <c r="D124" s="232"/>
      <c r="E124" s="233"/>
    </row>
    <row r="125" spans="2:5" x14ac:dyDescent="0.25">
      <c r="B125" s="232"/>
      <c r="C125" s="232"/>
      <c r="D125" s="232"/>
      <c r="E125" s="233"/>
    </row>
    <row r="126" spans="2:5" x14ac:dyDescent="0.25">
      <c r="B126" s="232"/>
      <c r="C126" s="232"/>
      <c r="D126" s="232"/>
      <c r="E126" s="233"/>
    </row>
    <row r="127" spans="2:5" x14ac:dyDescent="0.25">
      <c r="B127" s="232"/>
      <c r="C127" s="232"/>
      <c r="D127" s="232"/>
      <c r="E127" s="233"/>
    </row>
    <row r="128" spans="2:5" x14ac:dyDescent="0.25">
      <c r="B128" s="232"/>
      <c r="C128" s="232"/>
      <c r="D128" s="232"/>
      <c r="E128" s="233"/>
    </row>
    <row r="129" spans="2:5" x14ac:dyDescent="0.25">
      <c r="B129" s="232"/>
      <c r="C129" s="232"/>
      <c r="D129" s="232"/>
      <c r="E129" s="233"/>
    </row>
    <row r="130" spans="2:5" x14ac:dyDescent="0.25">
      <c r="B130" s="232"/>
      <c r="C130" s="232"/>
      <c r="D130" s="232"/>
      <c r="E130" s="233"/>
    </row>
    <row r="131" spans="2:5" x14ac:dyDescent="0.25">
      <c r="B131" s="232"/>
      <c r="C131" s="232"/>
      <c r="D131" s="232"/>
      <c r="E131" s="233"/>
    </row>
    <row r="132" spans="2:5" x14ac:dyDescent="0.25">
      <c r="B132" s="232"/>
      <c r="C132" s="232"/>
      <c r="D132" s="232"/>
      <c r="E132" s="233"/>
    </row>
    <row r="133" spans="2:5" x14ac:dyDescent="0.25">
      <c r="B133" s="232"/>
      <c r="C133" s="232"/>
      <c r="D133" s="232"/>
      <c r="E133" s="233"/>
    </row>
    <row r="134" spans="2:5" x14ac:dyDescent="0.25">
      <c r="B134" s="232"/>
      <c r="C134" s="232"/>
      <c r="D134" s="232"/>
      <c r="E134" s="233"/>
    </row>
    <row r="135" spans="2:5" x14ac:dyDescent="0.25">
      <c r="B135" s="232"/>
      <c r="C135" s="232"/>
      <c r="D135" s="232"/>
      <c r="E135" s="233"/>
    </row>
    <row r="136" spans="2:5" x14ac:dyDescent="0.25">
      <c r="B136" s="232"/>
      <c r="C136" s="232"/>
      <c r="D136" s="232"/>
      <c r="E136" s="233"/>
    </row>
    <row r="137" spans="2:5" x14ac:dyDescent="0.25">
      <c r="B137" s="232"/>
      <c r="C137" s="232"/>
      <c r="D137" s="232"/>
      <c r="E137" s="233"/>
    </row>
    <row r="138" spans="2:5" x14ac:dyDescent="0.25">
      <c r="B138" s="232"/>
      <c r="C138" s="232"/>
      <c r="D138" s="232"/>
      <c r="E138" s="233"/>
    </row>
    <row r="139" spans="2:5" x14ac:dyDescent="0.25">
      <c r="B139" s="232"/>
      <c r="C139" s="232"/>
      <c r="D139" s="232"/>
      <c r="E139" s="233"/>
    </row>
    <row r="140" spans="2:5" x14ac:dyDescent="0.25">
      <c r="B140" s="232"/>
      <c r="C140" s="232"/>
      <c r="D140" s="232"/>
      <c r="E140" s="233"/>
    </row>
    <row r="141" spans="2:5" x14ac:dyDescent="0.25">
      <c r="B141" s="232"/>
      <c r="C141" s="232"/>
      <c r="D141" s="232"/>
      <c r="E141" s="233"/>
    </row>
    <row r="142" spans="2:5" x14ac:dyDescent="0.25">
      <c r="B142" s="232"/>
      <c r="C142" s="232"/>
      <c r="D142" s="232"/>
      <c r="E142" s="233"/>
    </row>
    <row r="143" spans="2:5" x14ac:dyDescent="0.25">
      <c r="B143" s="232"/>
      <c r="C143" s="232"/>
      <c r="D143" s="232"/>
      <c r="E143" s="233"/>
    </row>
    <row r="144" spans="2:5" x14ac:dyDescent="0.25">
      <c r="B144" s="232"/>
      <c r="C144" s="232"/>
      <c r="D144" s="232"/>
      <c r="E144" s="233"/>
    </row>
    <row r="145" spans="2:5" x14ac:dyDescent="0.25">
      <c r="B145" s="232"/>
      <c r="C145" s="232"/>
      <c r="D145" s="232"/>
      <c r="E145" s="233"/>
    </row>
    <row r="146" spans="2:5" x14ac:dyDescent="0.25">
      <c r="B146" s="232"/>
      <c r="C146" s="232"/>
      <c r="D146" s="232"/>
      <c r="E146" s="233"/>
    </row>
    <row r="147" spans="2:5" x14ac:dyDescent="0.25">
      <c r="B147" s="232"/>
      <c r="C147" s="232"/>
      <c r="D147" s="232"/>
      <c r="E147" s="233"/>
    </row>
    <row r="148" spans="2:5" x14ac:dyDescent="0.25">
      <c r="B148" s="232"/>
      <c r="C148" s="232"/>
      <c r="D148" s="232"/>
      <c r="E148" s="233"/>
    </row>
    <row r="149" spans="2:5" x14ac:dyDescent="0.25">
      <c r="B149" s="232"/>
      <c r="C149" s="232"/>
      <c r="D149" s="232"/>
      <c r="E149" s="233"/>
    </row>
    <row r="150" spans="2:5" x14ac:dyDescent="0.25">
      <c r="B150" s="232"/>
      <c r="C150" s="232"/>
      <c r="D150" s="232"/>
      <c r="E150" s="233"/>
    </row>
    <row r="151" spans="2:5" x14ac:dyDescent="0.25">
      <c r="B151" s="232"/>
      <c r="C151" s="232"/>
      <c r="D151" s="232"/>
      <c r="E151" s="233"/>
    </row>
    <row r="152" spans="2:5" x14ac:dyDescent="0.25">
      <c r="B152" s="232"/>
      <c r="C152" s="232"/>
      <c r="D152" s="232"/>
      <c r="E152" s="233"/>
    </row>
    <row r="153" spans="2:5" x14ac:dyDescent="0.25">
      <c r="B153" s="232"/>
      <c r="C153" s="232"/>
      <c r="D153" s="232"/>
      <c r="E153" s="233"/>
    </row>
    <row r="154" spans="2:5" x14ac:dyDescent="0.25">
      <c r="B154" s="232"/>
      <c r="C154" s="232"/>
      <c r="D154" s="232"/>
      <c r="E154" s="233"/>
    </row>
    <row r="155" spans="2:5" x14ac:dyDescent="0.25">
      <c r="B155" s="232"/>
      <c r="C155" s="232"/>
      <c r="D155" s="232"/>
      <c r="E155" s="233"/>
    </row>
    <row r="156" spans="2:5" x14ac:dyDescent="0.25">
      <c r="B156" s="232"/>
      <c r="C156" s="232"/>
      <c r="D156" s="232"/>
      <c r="E156" s="233"/>
    </row>
    <row r="157" spans="2:5" x14ac:dyDescent="0.25">
      <c r="B157" s="232"/>
      <c r="C157" s="232"/>
      <c r="D157" s="232"/>
      <c r="E157" s="233"/>
    </row>
    <row r="158" spans="2:5" x14ac:dyDescent="0.25">
      <c r="B158" s="232"/>
      <c r="C158" s="232"/>
      <c r="D158" s="232"/>
      <c r="E158" s="233"/>
    </row>
    <row r="159" spans="2:5" x14ac:dyDescent="0.25">
      <c r="B159" s="232"/>
      <c r="C159" s="232"/>
      <c r="D159" s="232"/>
      <c r="E159" s="233"/>
    </row>
    <row r="160" spans="2:5" x14ac:dyDescent="0.25">
      <c r="B160" s="232"/>
      <c r="C160" s="232"/>
      <c r="D160" s="232"/>
      <c r="E160" s="233"/>
    </row>
    <row r="161" spans="2:5" x14ac:dyDescent="0.25">
      <c r="B161" s="232"/>
      <c r="C161" s="232"/>
      <c r="D161" s="232"/>
      <c r="E161" s="233"/>
    </row>
    <row r="162" spans="2:5" x14ac:dyDescent="0.25">
      <c r="B162" s="232"/>
      <c r="C162" s="232"/>
      <c r="D162" s="232"/>
      <c r="E162" s="233"/>
    </row>
    <row r="163" spans="2:5" x14ac:dyDescent="0.25">
      <c r="B163" s="232"/>
      <c r="C163" s="232"/>
      <c r="D163" s="232"/>
      <c r="E163" s="233"/>
    </row>
    <row r="164" spans="2:5" x14ac:dyDescent="0.25">
      <c r="B164" s="232"/>
      <c r="C164" s="232"/>
      <c r="D164" s="232"/>
      <c r="E164" s="233"/>
    </row>
    <row r="165" spans="2:5" x14ac:dyDescent="0.25">
      <c r="B165" s="232"/>
      <c r="C165" s="232"/>
      <c r="D165" s="232"/>
      <c r="E165" s="233"/>
    </row>
    <row r="166" spans="2:5" x14ac:dyDescent="0.25">
      <c r="B166" s="232"/>
      <c r="C166" s="232"/>
      <c r="D166" s="232"/>
      <c r="E166" s="233"/>
    </row>
    <row r="167" spans="2:5" x14ac:dyDescent="0.25">
      <c r="B167" s="232"/>
      <c r="C167" s="232"/>
      <c r="D167" s="232"/>
      <c r="E167" s="233"/>
    </row>
    <row r="168" spans="2:5" x14ac:dyDescent="0.25">
      <c r="B168" s="232"/>
      <c r="C168" s="232"/>
      <c r="D168" s="232"/>
      <c r="E168" s="233"/>
    </row>
    <row r="169" spans="2:5" x14ac:dyDescent="0.25">
      <c r="B169" s="232"/>
      <c r="C169" s="232"/>
      <c r="D169" s="232"/>
      <c r="E169" s="233"/>
    </row>
    <row r="170" spans="2:5" x14ac:dyDescent="0.25">
      <c r="B170" s="232"/>
      <c r="C170" s="232"/>
      <c r="D170" s="232"/>
      <c r="E170" s="233"/>
    </row>
    <row r="171" spans="2:5" x14ac:dyDescent="0.25">
      <c r="B171" s="232"/>
      <c r="C171" s="232"/>
      <c r="D171" s="232"/>
      <c r="E171" s="233"/>
    </row>
    <row r="172" spans="2:5" x14ac:dyDescent="0.25">
      <c r="B172" s="232"/>
      <c r="C172" s="232"/>
      <c r="D172" s="232"/>
      <c r="E172" s="233"/>
    </row>
    <row r="173" spans="2:5" x14ac:dyDescent="0.25">
      <c r="B173" s="232"/>
      <c r="C173" s="232"/>
      <c r="D173" s="232"/>
      <c r="E173" s="233"/>
    </row>
    <row r="174" spans="2:5" x14ac:dyDescent="0.25">
      <c r="B174" s="232"/>
      <c r="C174" s="232"/>
      <c r="D174" s="232"/>
      <c r="E174" s="233"/>
    </row>
    <row r="175" spans="2:5" x14ac:dyDescent="0.25">
      <c r="B175" s="232"/>
      <c r="C175" s="232"/>
      <c r="D175" s="232"/>
      <c r="E175" s="233"/>
    </row>
    <row r="176" spans="2:5" x14ac:dyDescent="0.25">
      <c r="B176" s="232"/>
      <c r="C176" s="232"/>
      <c r="D176" s="232"/>
      <c r="E176" s="233"/>
    </row>
    <row r="177" spans="2:5" x14ac:dyDescent="0.25">
      <c r="B177" s="232"/>
      <c r="C177" s="232"/>
      <c r="D177" s="232"/>
      <c r="E177" s="233"/>
    </row>
    <row r="178" spans="2:5" x14ac:dyDescent="0.25">
      <c r="B178" s="232"/>
      <c r="C178" s="232"/>
      <c r="D178" s="232"/>
      <c r="E178" s="233"/>
    </row>
    <row r="179" spans="2:5" x14ac:dyDescent="0.25">
      <c r="B179" s="232"/>
      <c r="C179" s="232"/>
      <c r="D179" s="232"/>
      <c r="E179" s="233"/>
    </row>
    <row r="180" spans="2:5" x14ac:dyDescent="0.25">
      <c r="B180" s="232"/>
      <c r="C180" s="232"/>
      <c r="D180" s="232"/>
      <c r="E180" s="233"/>
    </row>
    <row r="181" spans="2:5" x14ac:dyDescent="0.25">
      <c r="B181" s="232"/>
      <c r="C181" s="232"/>
      <c r="D181" s="232"/>
      <c r="E181" s="233"/>
    </row>
    <row r="182" spans="2:5" x14ac:dyDescent="0.25">
      <c r="B182" s="232"/>
      <c r="C182" s="232"/>
      <c r="D182" s="232"/>
      <c r="E182" s="233"/>
    </row>
    <row r="183" spans="2:5" x14ac:dyDescent="0.25">
      <c r="B183" s="232"/>
      <c r="C183" s="232"/>
      <c r="D183" s="232"/>
      <c r="E183" s="233"/>
    </row>
    <row r="184" spans="2:5" x14ac:dyDescent="0.25">
      <c r="B184" s="232"/>
      <c r="C184" s="232"/>
      <c r="D184" s="232"/>
      <c r="E184" s="233"/>
    </row>
    <row r="185" spans="2:5" x14ac:dyDescent="0.25">
      <c r="B185" s="232"/>
      <c r="C185" s="232"/>
      <c r="D185" s="232"/>
      <c r="E185" s="233"/>
    </row>
    <row r="186" spans="2:5" x14ac:dyDescent="0.25">
      <c r="B186" s="232"/>
      <c r="C186" s="232"/>
      <c r="D186" s="232"/>
      <c r="E186" s="233"/>
    </row>
  </sheetData>
  <sheetProtection algorithmName="SHA-512" hashValue="JPvdd2Y3OpAVkHUkJG99R+TX85FN5v87lNiDKy+ylvTlSDpqCP8MfkZd2cZd0meoEpIoKl2gvGVFKzQ+GVWl6g==" saltValue="O6rjrQKwQa57LJ6ConMMiQ==" spinCount="100000" sheet="1" objects="1" scenarios="1"/>
  <mergeCells count="21">
    <mergeCell ref="B34:B41"/>
    <mergeCell ref="C28:C32"/>
    <mergeCell ref="B28:B32"/>
    <mergeCell ref="B33:E33"/>
    <mergeCell ref="D28:D32"/>
    <mergeCell ref="B42:E42"/>
    <mergeCell ref="B44:E44"/>
    <mergeCell ref="B27:E27"/>
    <mergeCell ref="B3:C4"/>
    <mergeCell ref="B23:E23"/>
    <mergeCell ref="D24:D26"/>
    <mergeCell ref="C24:C26"/>
    <mergeCell ref="B24:B26"/>
    <mergeCell ref="B13:B19"/>
    <mergeCell ref="C13:C19"/>
    <mergeCell ref="B20:E20"/>
    <mergeCell ref="B21:B22"/>
    <mergeCell ref="C21:C22"/>
    <mergeCell ref="D21:D22"/>
    <mergeCell ref="D34:D41"/>
    <mergeCell ref="C34:C41"/>
  </mergeCells>
  <hyperlinks>
    <hyperlink ref="B3" location="Main!A1" display="Go back to main" xr:uid="{D525A679-8570-4195-9F71-7F379B812A6F}"/>
    <hyperlink ref="B3:C4" location="'VMware by Broadcom'!A1" display="Go back to main" xr:uid="{81EC1D2C-17C8-4BC5-A440-A7BC8E8769A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B8D6-A365-49E4-9E4E-A87D537A4A14}">
  <sheetPr>
    <tabColor theme="5" tint="-0.249977111117893"/>
  </sheetPr>
  <dimension ref="B3:G33"/>
  <sheetViews>
    <sheetView workbookViewId="0"/>
  </sheetViews>
  <sheetFormatPr defaultColWidth="9.140625" defaultRowHeight="15" x14ac:dyDescent="0.25"/>
  <cols>
    <col min="1" max="3" width="9.140625" style="1"/>
    <col min="4" max="4" width="111.42578125" style="1" customWidth="1"/>
    <col min="5" max="16384" width="9.140625" style="1"/>
  </cols>
  <sheetData>
    <row r="3" spans="2:7" x14ac:dyDescent="0.25">
      <c r="B3" s="420" t="s">
        <v>144</v>
      </c>
      <c r="C3" s="420"/>
    </row>
    <row r="4" spans="2:7" x14ac:dyDescent="0.25">
      <c r="B4" s="420"/>
      <c r="C4" s="420"/>
    </row>
    <row r="9" spans="2:7" x14ac:dyDescent="0.25">
      <c r="B9" s="3"/>
      <c r="C9" s="3"/>
      <c r="D9" s="3"/>
      <c r="E9" s="3"/>
      <c r="F9" s="3"/>
      <c r="G9" s="3"/>
    </row>
    <row r="10" spans="2:7" x14ac:dyDescent="0.25">
      <c r="B10" s="3"/>
      <c r="C10" s="3"/>
      <c r="D10" s="3"/>
      <c r="E10" s="3"/>
      <c r="F10" s="3"/>
      <c r="G10" s="3"/>
    </row>
    <row r="11" spans="2:7" ht="15.75" x14ac:dyDescent="0.25">
      <c r="C11" s="3"/>
      <c r="D11" s="4" t="s">
        <v>183</v>
      </c>
      <c r="E11" s="3"/>
      <c r="F11" s="3"/>
      <c r="G11" s="3"/>
    </row>
    <row r="12" spans="2:7" x14ac:dyDescent="0.25">
      <c r="B12" s="3"/>
      <c r="C12" s="3"/>
      <c r="D12" s="3"/>
      <c r="E12" s="3"/>
      <c r="F12" s="3"/>
      <c r="G12" s="3"/>
    </row>
    <row r="13" spans="2:7" ht="16.5" thickBot="1" x14ac:dyDescent="0.3">
      <c r="B13" s="3"/>
      <c r="C13" s="3"/>
      <c r="D13" s="5" t="s">
        <v>184</v>
      </c>
      <c r="E13" s="3"/>
      <c r="F13" s="3"/>
      <c r="G13" s="3"/>
    </row>
    <row r="14" spans="2:7" ht="16.5" thickBot="1" x14ac:dyDescent="0.3">
      <c r="B14" s="3"/>
      <c r="C14" s="3"/>
      <c r="D14" s="6" t="s">
        <v>185</v>
      </c>
      <c r="E14" s="7"/>
      <c r="F14" s="3"/>
      <c r="G14" s="3"/>
    </row>
    <row r="15" spans="2:7" ht="16.5" thickBot="1" x14ac:dyDescent="0.3">
      <c r="B15" s="3"/>
      <c r="C15" s="3"/>
      <c r="D15" s="6" t="s">
        <v>186</v>
      </c>
      <c r="E15" s="7"/>
      <c r="F15" s="3"/>
      <c r="G15" s="3"/>
    </row>
    <row r="16" spans="2:7" ht="16.5" thickBot="1" x14ac:dyDescent="0.3">
      <c r="B16" s="3"/>
      <c r="C16" s="3"/>
      <c r="D16" s="6" t="s">
        <v>187</v>
      </c>
      <c r="E16" s="7"/>
      <c r="F16" s="3"/>
      <c r="G16" s="3"/>
    </row>
    <row r="17" spans="2:7" ht="16.5" thickBot="1" x14ac:dyDescent="0.3">
      <c r="B17" s="3"/>
      <c r="C17" s="3"/>
      <c r="D17" s="6" t="s">
        <v>188</v>
      </c>
      <c r="E17" s="7"/>
      <c r="F17" s="3"/>
      <c r="G17" s="3"/>
    </row>
    <row r="18" spans="2:7" ht="16.5" thickBot="1" x14ac:dyDescent="0.3">
      <c r="B18" s="3"/>
      <c r="C18" s="3"/>
      <c r="D18" s="6" t="s">
        <v>189</v>
      </c>
      <c r="E18" s="7"/>
      <c r="F18" s="3"/>
      <c r="G18" s="3"/>
    </row>
    <row r="19" spans="2:7" ht="16.5" thickBot="1" x14ac:dyDescent="0.3">
      <c r="B19" s="3"/>
      <c r="C19" s="3"/>
      <c r="D19" s="6" t="s">
        <v>190</v>
      </c>
      <c r="E19" s="7"/>
      <c r="F19" s="3"/>
      <c r="G19" s="3"/>
    </row>
    <row r="20" spans="2:7" ht="16.5" thickBot="1" x14ac:dyDescent="0.3">
      <c r="B20" s="3"/>
      <c r="C20" s="3"/>
      <c r="D20" s="6" t="s">
        <v>191</v>
      </c>
      <c r="E20" s="7"/>
      <c r="F20" s="3"/>
      <c r="G20" s="3"/>
    </row>
    <row r="21" spans="2:7" ht="16.5" thickBot="1" x14ac:dyDescent="0.3">
      <c r="B21" s="3"/>
      <c r="C21" s="3"/>
      <c r="D21" s="6" t="s">
        <v>192</v>
      </c>
      <c r="E21" s="7"/>
      <c r="F21" s="3"/>
      <c r="G21" s="3"/>
    </row>
    <row r="22" spans="2:7" ht="16.5" thickBot="1" x14ac:dyDescent="0.3">
      <c r="B22" s="3"/>
      <c r="C22" s="3"/>
      <c r="D22" s="6" t="s">
        <v>193</v>
      </c>
      <c r="E22" s="7"/>
      <c r="F22" s="3"/>
      <c r="G22" s="3"/>
    </row>
    <row r="23" spans="2:7" ht="16.5" thickBot="1" x14ac:dyDescent="0.3">
      <c r="B23" s="3"/>
      <c r="C23" s="3"/>
      <c r="D23" s="6" t="s">
        <v>194</v>
      </c>
      <c r="E23" s="7"/>
      <c r="F23" s="3"/>
      <c r="G23" s="3"/>
    </row>
    <row r="24" spans="2:7" x14ac:dyDescent="0.25">
      <c r="B24" s="3"/>
      <c r="C24" s="3"/>
      <c r="D24" s="3"/>
      <c r="E24" s="3"/>
      <c r="F24" s="3"/>
      <c r="G24" s="3"/>
    </row>
    <row r="25" spans="2:7" x14ac:dyDescent="0.25">
      <c r="B25" s="3"/>
      <c r="C25" s="3"/>
      <c r="D25" s="3"/>
      <c r="E25" s="3"/>
      <c r="F25" s="3"/>
      <c r="G25" s="3"/>
    </row>
    <row r="26" spans="2:7" ht="16.5" thickBot="1" x14ac:dyDescent="0.3">
      <c r="B26" s="3"/>
      <c r="C26" s="3"/>
      <c r="D26" s="5" t="s">
        <v>195</v>
      </c>
      <c r="E26" s="3"/>
      <c r="F26" s="3"/>
      <c r="G26" s="3"/>
    </row>
    <row r="27" spans="2:7" ht="16.5" thickBot="1" x14ac:dyDescent="0.3">
      <c r="B27" s="3"/>
      <c r="C27" s="3"/>
      <c r="D27" s="6" t="s">
        <v>196</v>
      </c>
      <c r="E27" s="7"/>
      <c r="F27" s="3"/>
      <c r="G27" s="3"/>
    </row>
    <row r="28" spans="2:7" ht="16.5" thickBot="1" x14ac:dyDescent="0.3">
      <c r="B28" s="3"/>
      <c r="C28" s="3"/>
      <c r="D28" s="6" t="s">
        <v>197</v>
      </c>
      <c r="E28" s="7"/>
      <c r="F28" s="3"/>
      <c r="G28" s="3"/>
    </row>
    <row r="29" spans="2:7" ht="16.5" thickBot="1" x14ac:dyDescent="0.3">
      <c r="B29" s="3"/>
      <c r="C29" s="3"/>
      <c r="D29" s="6" t="s">
        <v>198</v>
      </c>
      <c r="E29" s="7"/>
      <c r="F29" s="3"/>
      <c r="G29" s="3"/>
    </row>
    <row r="30" spans="2:7" ht="16.5" thickBot="1" x14ac:dyDescent="0.3">
      <c r="B30" s="3"/>
      <c r="C30" s="3"/>
      <c r="D30" s="6" t="s">
        <v>199</v>
      </c>
      <c r="E30" s="7"/>
      <c r="F30" s="3"/>
      <c r="G30" s="3"/>
    </row>
    <row r="31" spans="2:7" x14ac:dyDescent="0.25">
      <c r="B31" s="3"/>
      <c r="C31" s="3"/>
      <c r="D31" s="3"/>
      <c r="E31" s="3"/>
      <c r="F31" s="3"/>
      <c r="G31" s="3"/>
    </row>
    <row r="33" spans="4:4" ht="189" x14ac:dyDescent="0.25">
      <c r="D33" s="2" t="s">
        <v>200</v>
      </c>
    </row>
  </sheetData>
  <sheetProtection algorithmName="SHA-512" hashValue="M6zU1OHqcDDNZoj50D24RfAc7MMaRUzoaDVBKVjXg7sCaqVr6q4ikrta7ucme834EobO2H5+saBViL+pGNuarQ==" saltValue="Tb3NtD8s1UOyF51inIvQdw==" spinCount="100000" sheet="1" objects="1" scenarios="1"/>
  <mergeCells count="1">
    <mergeCell ref="B3:C4"/>
  </mergeCells>
  <hyperlinks>
    <hyperlink ref="B3" location="Main!A1" display="Go back to main" xr:uid="{85E95443-D342-48A3-86F8-22E16C459FB8}"/>
    <hyperlink ref="B3:C4" location="'VMware by Broadcom'!A1" display="Go back to main" xr:uid="{9A44A7F8-5703-4A9D-A080-FBADDC34BFD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A810-11D0-428C-A0DD-6DAA995BBE05}">
  <dimension ref="A3:Q58"/>
  <sheetViews>
    <sheetView topLeftCell="E1" workbookViewId="0">
      <selection activeCell="F23" sqref="F23"/>
    </sheetView>
  </sheetViews>
  <sheetFormatPr defaultColWidth="15.42578125" defaultRowHeight="14.25" x14ac:dyDescent="0.2"/>
  <cols>
    <col min="1" max="2" width="15.42578125" style="31" customWidth="1"/>
    <col min="3" max="3" width="15.42578125" style="31"/>
    <col min="4" max="4" width="31" style="31" customWidth="1"/>
    <col min="5" max="6" width="28.42578125" style="31" customWidth="1"/>
    <col min="7" max="7" width="28.140625" style="31" bestFit="1" customWidth="1"/>
    <col min="8" max="8" width="16" style="31" bestFit="1" customWidth="1"/>
    <col min="9" max="9" width="15.5703125" style="31" bestFit="1" customWidth="1"/>
    <col min="10" max="10" width="15.42578125" style="31"/>
    <col min="11" max="11" width="31.7109375" style="31" bestFit="1" customWidth="1"/>
    <col min="12" max="12" width="16.42578125" style="31" bestFit="1" customWidth="1"/>
    <col min="13" max="13" width="15.5703125" style="31" bestFit="1" customWidth="1"/>
    <col min="14" max="14" width="15.42578125" style="31"/>
    <col min="15" max="15" width="31.7109375" style="31" bestFit="1" customWidth="1"/>
    <col min="16" max="16" width="17.5703125" style="31" bestFit="1" customWidth="1"/>
    <col min="17" max="17" width="15.5703125" style="31" bestFit="1" customWidth="1"/>
    <col min="18" max="16384" width="15.42578125" style="31"/>
  </cols>
  <sheetData>
    <row r="3" spans="1:17" ht="15" thickBot="1" x14ac:dyDescent="0.25"/>
    <row r="4" spans="1:17" ht="15" thickBot="1" x14ac:dyDescent="0.25">
      <c r="C4" s="423" t="s">
        <v>201</v>
      </c>
      <c r="D4" s="424"/>
      <c r="E4" s="424"/>
      <c r="F4" s="424"/>
      <c r="G4" s="424"/>
      <c r="H4" s="424"/>
      <c r="I4" s="424"/>
      <c r="J4" s="424"/>
      <c r="K4" s="424"/>
      <c r="L4" s="424"/>
      <c r="M4" s="424"/>
      <c r="N4" s="424"/>
      <c r="O4" s="424"/>
      <c r="P4" s="424"/>
      <c r="Q4" s="425"/>
    </row>
    <row r="5" spans="1:17" ht="15.75" thickBot="1" x14ac:dyDescent="0.25">
      <c r="C5" s="426" t="str">
        <f>"License/"&amp;'VMware by Broadcom'!C16</f>
        <v>License/EUR</v>
      </c>
      <c r="D5" s="427"/>
      <c r="E5" s="113"/>
      <c r="F5" s="431"/>
      <c r="G5" s="432"/>
      <c r="H5" s="432"/>
      <c r="I5" s="432"/>
      <c r="J5" s="433"/>
      <c r="K5" s="434"/>
      <c r="L5" s="434"/>
      <c r="M5" s="435"/>
      <c r="N5" s="436" t="s">
        <v>110</v>
      </c>
      <c r="O5" s="436"/>
      <c r="P5" s="436"/>
      <c r="Q5" s="437"/>
    </row>
    <row r="6" spans="1:17" ht="30.75" thickBot="1" x14ac:dyDescent="0.25">
      <c r="B6" s="31" t="s">
        <v>202</v>
      </c>
      <c r="C6" s="428"/>
      <c r="D6" s="429"/>
      <c r="E6" s="114" t="s">
        <v>203</v>
      </c>
      <c r="F6" s="115" t="s">
        <v>204</v>
      </c>
      <c r="G6" s="116" t="s">
        <v>129</v>
      </c>
      <c r="H6" s="117" t="s">
        <v>111</v>
      </c>
      <c r="I6" s="118" t="s">
        <v>205</v>
      </c>
      <c r="J6" s="169" t="s">
        <v>204</v>
      </c>
      <c r="K6" s="170" t="s">
        <v>129</v>
      </c>
      <c r="L6" s="170" t="s">
        <v>111</v>
      </c>
      <c r="M6" s="171" t="s">
        <v>205</v>
      </c>
      <c r="N6" s="119"/>
      <c r="O6" s="120" t="s">
        <v>129</v>
      </c>
      <c r="P6" s="121" t="s">
        <v>111</v>
      </c>
      <c r="Q6" s="122" t="s">
        <v>205</v>
      </c>
    </row>
    <row r="7" spans="1:17" ht="15" x14ac:dyDescent="0.2">
      <c r="A7" s="31">
        <f>IF(B7="0","",MAX(A$6:A6)+1)</f>
        <v>1</v>
      </c>
      <c r="B7" s="31" t="str" cm="1">
        <f t="array" ref="B7">IF(OR('VMware by Broadcom'!F56:F65="Yes",'VMware by Broadcom'!G66:G67="Yes",'VMware by Broadcom'!G72:G92="Yes",'VMware by Broadcom'!C12:C14="Yes"),"0","1")</f>
        <v>1</v>
      </c>
      <c r="C7" s="328" t="s">
        <v>16</v>
      </c>
      <c r="D7" s="430"/>
      <c r="E7" s="123">
        <f>'VMware by Broadcom'!F9</f>
        <v>16</v>
      </c>
      <c r="F7" s="128" t="s">
        <v>206</v>
      </c>
      <c r="G7" s="129" t="s">
        <v>207</v>
      </c>
      <c r="H7" s="163">
        <v>50</v>
      </c>
      <c r="I7" s="126">
        <f>VLOOKUP('VMware by Broadcom'!$C$16,'Currency and Contacts'!$H$4:$I$18,2,0)*H7</f>
        <v>45.965000000000003</v>
      </c>
      <c r="J7" s="125" t="s">
        <v>109</v>
      </c>
      <c r="K7" s="129" t="s">
        <v>207</v>
      </c>
      <c r="L7" s="163">
        <f t="shared" ref="L7" si="0">H7*3</f>
        <v>150</v>
      </c>
      <c r="M7" s="124">
        <f>VLOOKUP('VMware by Broadcom'!$C$16,'Currency and Contacts'!$H$4:$I$18,2,0)*L7</f>
        <v>137.89500000000001</v>
      </c>
      <c r="N7" s="125" t="s">
        <v>110</v>
      </c>
      <c r="O7" s="129" t="s">
        <v>207</v>
      </c>
      <c r="P7" s="163">
        <f t="shared" ref="P7" si="1">H7*5</f>
        <v>250</v>
      </c>
      <c r="Q7" s="126">
        <f>VLOOKUP('VMware by Broadcom'!$C$16,'Currency and Contacts'!$H$4:$I$18,2,0)*P7</f>
        <v>229.82499999999999</v>
      </c>
    </row>
    <row r="8" spans="1:17" ht="15" x14ac:dyDescent="0.2">
      <c r="A8" s="31">
        <f>IF(B8="0","",MAX(A$6:A7)+1)</f>
        <v>2</v>
      </c>
      <c r="B8" s="31" t="str" cm="1">
        <f t="array" ref="B8">IF(OR('VMware by Broadcom'!F56:F65="Yes",'VMware by Broadcom'!G66:G67="Yes",'VMware by Broadcom'!G72:G92="Yes",'VMware by Broadcom'!C12:C14="Yes"),"0","1")</f>
        <v>1</v>
      </c>
      <c r="C8" s="362" t="s">
        <v>208</v>
      </c>
      <c r="D8" s="363"/>
      <c r="E8" s="127">
        <f>'VMware by Broadcom'!F9</f>
        <v>16</v>
      </c>
      <c r="F8" s="128" t="s">
        <v>206</v>
      </c>
      <c r="G8" s="129" t="s">
        <v>209</v>
      </c>
      <c r="H8" s="163">
        <v>150</v>
      </c>
      <c r="I8" s="126">
        <f>VLOOKUP('VMware by Broadcom'!$C$16,'Currency and Contacts'!$H$4:$I$18,2,0)*H8</f>
        <v>137.89500000000001</v>
      </c>
      <c r="J8" s="125" t="s">
        <v>109</v>
      </c>
      <c r="K8" s="129" t="s">
        <v>210</v>
      </c>
      <c r="L8" s="163">
        <v>360</v>
      </c>
      <c r="M8" s="124">
        <f>VLOOKUP('VMware by Broadcom'!$C$16,'Currency and Contacts'!$H$4:$I$18,2,0)*L8</f>
        <v>330.94799999999998</v>
      </c>
      <c r="N8" s="125" t="s">
        <v>110</v>
      </c>
      <c r="O8" s="129" t="s">
        <v>210</v>
      </c>
      <c r="P8" s="163">
        <v>600</v>
      </c>
      <c r="Q8" s="126">
        <f>VLOOKUP('VMware by Broadcom'!$C$16,'Currency and Contacts'!$H$4:$I$18,2,0)*P8</f>
        <v>551.58000000000004</v>
      </c>
    </row>
    <row r="9" spans="1:17" ht="15" x14ac:dyDescent="0.2">
      <c r="A9" s="31">
        <f>IF(B9="0","",MAX(A$6:A8)+1)</f>
        <v>3</v>
      </c>
      <c r="B9" s="31" t="str" cm="1">
        <f t="array" ref="B9">IF(OR('VMware by Broadcom'!G66:G67="Yes",'VMware by Broadcom'!G72:G92="Yes",'VMware by Broadcom'!C13="Yes"),"0","1")</f>
        <v>1</v>
      </c>
      <c r="C9" s="362" t="s">
        <v>114</v>
      </c>
      <c r="D9" s="363"/>
      <c r="E9" s="127">
        <f>'VMware by Broadcom'!F9</f>
        <v>16</v>
      </c>
      <c r="F9" s="128" t="s">
        <v>206</v>
      </c>
      <c r="G9" s="129" t="s">
        <v>211</v>
      </c>
      <c r="H9" s="163">
        <v>190</v>
      </c>
      <c r="I9" s="126">
        <f>VLOOKUP('VMware by Broadcom'!$C$16,'Currency and Contacts'!$H$4:$I$18,2,0)*H9</f>
        <v>174.667</v>
      </c>
      <c r="J9" s="125" t="s">
        <v>109</v>
      </c>
      <c r="K9" s="129" t="s">
        <v>212</v>
      </c>
      <c r="L9" s="163">
        <v>450</v>
      </c>
      <c r="M9" s="124">
        <f>VLOOKUP('VMware by Broadcom'!$C$16,'Currency and Contacts'!$H$4:$I$18,2,0)*L9</f>
        <v>413.685</v>
      </c>
      <c r="N9" s="125" t="s">
        <v>110</v>
      </c>
      <c r="O9" s="129" t="s">
        <v>212</v>
      </c>
      <c r="P9" s="163">
        <v>750</v>
      </c>
      <c r="Q9" s="126">
        <f>VLOOKUP('VMware by Broadcom'!$C$16,'Currency and Contacts'!$H$4:$I$18,2,0)*P9</f>
        <v>689.47500000000002</v>
      </c>
    </row>
    <row r="10" spans="1:17" ht="15" x14ac:dyDescent="0.2">
      <c r="A10" s="31">
        <f>IF(B10="0","",MAX(A$6:A9)+1)</f>
        <v>4</v>
      </c>
      <c r="B10" s="31" t="str">
        <f>"1"</f>
        <v>1</v>
      </c>
      <c r="C10" s="362" t="s">
        <v>115</v>
      </c>
      <c r="D10" s="363"/>
      <c r="E10" s="127">
        <f>'VMware by Broadcom'!F9</f>
        <v>16</v>
      </c>
      <c r="F10" s="128" t="s">
        <v>206</v>
      </c>
      <c r="G10" s="129" t="s">
        <v>213</v>
      </c>
      <c r="H10" s="163">
        <v>350</v>
      </c>
      <c r="I10" s="126">
        <f>VLOOKUP('VMware by Broadcom'!$C$16,'Currency and Contacts'!$H$4:$I$18,2,0)*H10</f>
        <v>321.755</v>
      </c>
      <c r="J10" s="125" t="s">
        <v>109</v>
      </c>
      <c r="K10" s="129" t="s">
        <v>213</v>
      </c>
      <c r="L10" s="163">
        <f t="shared" ref="L10:L11" si="2">H10*3</f>
        <v>1050</v>
      </c>
      <c r="M10" s="124">
        <f>VLOOKUP('VMware by Broadcom'!$C$16,'Currency and Contacts'!$H$4:$I$18,2,0)*L10</f>
        <v>965.26499999999999</v>
      </c>
      <c r="N10" s="125" t="s">
        <v>110</v>
      </c>
      <c r="O10" s="129" t="s">
        <v>213</v>
      </c>
      <c r="P10" s="163">
        <f t="shared" ref="P10:P11" si="3">H10*5</f>
        <v>1750</v>
      </c>
      <c r="Q10" s="126">
        <f>VLOOKUP('VMware by Broadcom'!$C$16,'Currency and Contacts'!$H$4:$I$18,2,0)*P10</f>
        <v>1608.7750000000001</v>
      </c>
    </row>
    <row r="11" spans="1:17" ht="15.75" thickBot="1" x14ac:dyDescent="0.25">
      <c r="A11" s="31" t="str">
        <f>IF(B11="0","",MAX(A$6:A10)+1)</f>
        <v/>
      </c>
      <c r="B11" s="31" t="str">
        <f>IF('VMware by Broadcom'!C12="Yes","1","0")</f>
        <v>0</v>
      </c>
      <c r="C11" s="421" t="s">
        <v>214</v>
      </c>
      <c r="D11" s="422"/>
      <c r="E11" s="130" t="str">
        <f>"VVF:"&amp;'VMware by Broadcom'!E116&amp;", VCF: "&amp;'VMware by Broadcom'!E117</f>
        <v xml:space="preserve">VVF:, VCF: </v>
      </c>
      <c r="F11" s="131" t="s">
        <v>206</v>
      </c>
      <c r="G11" s="132" t="s">
        <v>215</v>
      </c>
      <c r="H11" s="164">
        <v>210</v>
      </c>
      <c r="I11" s="133">
        <f>VLOOKUP('VMware by Broadcom'!$C$16,'Currency and Contacts'!$H$4:$I$18,2,0)*H11</f>
        <v>193.053</v>
      </c>
      <c r="J11" s="135" t="s">
        <v>109</v>
      </c>
      <c r="K11" s="132" t="s">
        <v>215</v>
      </c>
      <c r="L11" s="172">
        <f t="shared" si="2"/>
        <v>630</v>
      </c>
      <c r="M11" s="134">
        <f>VLOOKUP('VMware by Broadcom'!$C$16,'Currency and Contacts'!$H$4:$I$18,2,0)*L11</f>
        <v>579.15899999999999</v>
      </c>
      <c r="N11" s="135" t="s">
        <v>110</v>
      </c>
      <c r="O11" s="132" t="s">
        <v>215</v>
      </c>
      <c r="P11" s="172">
        <f t="shared" si="3"/>
        <v>1050</v>
      </c>
      <c r="Q11" s="133">
        <f>VLOOKUP('VMware by Broadcom'!$C$16,'Currency and Contacts'!$H$4:$I$18,2,0)*P11</f>
        <v>965.26499999999999</v>
      </c>
    </row>
    <row r="18" spans="2:6" ht="15" x14ac:dyDescent="0.2">
      <c r="B18" s="321"/>
      <c r="C18" s="321"/>
      <c r="D18" s="9"/>
    </row>
    <row r="20" spans="2:6" x14ac:dyDescent="0.2">
      <c r="D20" s="8"/>
      <c r="E20" s="8"/>
      <c r="F20" s="8"/>
    </row>
    <row r="33" spans="3:10" x14ac:dyDescent="0.2">
      <c r="I33" s="229"/>
      <c r="J33" s="8"/>
    </row>
    <row r="34" spans="3:10" x14ac:dyDescent="0.2">
      <c r="I34" s="8"/>
      <c r="J34" s="8"/>
    </row>
    <row r="35" spans="3:10" x14ac:dyDescent="0.2">
      <c r="I35" s="8"/>
      <c r="J35" s="8"/>
    </row>
    <row r="38" spans="3:10" x14ac:dyDescent="0.2">
      <c r="C38" s="31" t="str">
        <f>IFERROR(INDEX($C$7:$C$11,MATCH(ROW()-ROW($C$31),$A$7:$A$11,0)),IFERROR(INDEX('Add-on Pricing'!$F$6:$F$22,MATCH(ROW()-ROW($C$31),'Add-on Pricing'!$D$6:$D$22,0)),""))</f>
        <v/>
      </c>
    </row>
    <row r="39" spans="3:10" x14ac:dyDescent="0.2">
      <c r="C39" s="31" t="str">
        <f>IFERROR(INDEX($C$7:$C$11,MATCH(ROW()-ROW($C$31),$A$7:$A$11,0)),IFERROR(INDEX('Add-on Pricing'!$F$6:$F$22,MATCH(ROW()-ROW($C$31),'Add-on Pricing'!$D$6:$D$22,0)),""))</f>
        <v/>
      </c>
    </row>
    <row r="40" spans="3:10" x14ac:dyDescent="0.2">
      <c r="C40" s="31" t="str">
        <f>IFERROR(INDEX($C$7:$C$11,MATCH(ROW()-ROW($C$31),$A$7:$A$11,0)),IFERROR(INDEX('Add-on Pricing'!$F$6:$F$22,MATCH(ROW()-ROW($C$31),'Add-on Pricing'!$D$6:$D$22,0)),""))</f>
        <v/>
      </c>
    </row>
    <row r="41" spans="3:10" x14ac:dyDescent="0.2">
      <c r="C41" s="31" t="str">
        <f>IFERROR(INDEX($C$7:$C$11,MATCH(ROW()-ROW($C$31),$A$7:$A$11,0)),IFERROR(INDEX('Add-on Pricing'!$F$6:$F$22,MATCH(ROW()-ROW($C$31),'Add-on Pricing'!$D$6:$D$22,0)),""))</f>
        <v/>
      </c>
    </row>
    <row r="42" spans="3:10" x14ac:dyDescent="0.2">
      <c r="C42" s="31" t="str">
        <f>IFERROR(INDEX($C$7:$C$11,MATCH(ROW()-ROW($C$31),$A$7:$A$11,0)),IFERROR(INDEX('Add-on Pricing'!$F$6:$F$22,MATCH(ROW()-ROW($C$31),'Add-on Pricing'!$D$6:$D$22,0)),""))</f>
        <v/>
      </c>
    </row>
    <row r="43" spans="3:10" x14ac:dyDescent="0.2">
      <c r="C43" s="31" t="str">
        <f>IFERROR(INDEX($C$7:$C$11,MATCH(ROW()-ROW($C$31),$A$7:$A$11,0)),IFERROR(INDEX('Add-on Pricing'!$F$6:$F$22,MATCH(ROW()-ROW($C$31),'Add-on Pricing'!$D$6:$D$22,0)),""))</f>
        <v/>
      </c>
    </row>
    <row r="44" spans="3:10" x14ac:dyDescent="0.2">
      <c r="C44" s="31" t="str">
        <f>IFERROR(INDEX($C$7:$C$11,MATCH(ROW()-ROW($C$31),$A$7:$A$11,0)),IFERROR(INDEX('Add-on Pricing'!$F$6:$F$22,MATCH(ROW()-ROW($C$31),'Add-on Pricing'!$D$6:$D$22,0)),""))</f>
        <v/>
      </c>
    </row>
    <row r="45" spans="3:10" x14ac:dyDescent="0.2">
      <c r="C45" s="31" t="str">
        <f>IFERROR(INDEX($C$7:$C$11,MATCH(ROW()-ROW($C$31),$A$7:$A$11,0)),IFERROR(INDEX('Add-on Pricing'!$F$6:$F$22,MATCH(ROW()-ROW($C$31),'Add-on Pricing'!$D$6:$D$22,0)),""))</f>
        <v/>
      </c>
    </row>
    <row r="46" spans="3:10" x14ac:dyDescent="0.2">
      <c r="C46" s="31" t="str">
        <f>IFERROR(INDEX($C$7:$C$11,MATCH(ROW()-ROW($C$31),$A$7:$A$11,0)),IFERROR(INDEX('Add-on Pricing'!$F$6:$F$22,MATCH(ROW()-ROW($C$31),'Add-on Pricing'!$D$6:$D$22,0)),""))</f>
        <v/>
      </c>
    </row>
    <row r="47" spans="3:10" x14ac:dyDescent="0.2">
      <c r="C47" s="31" t="str">
        <f>IFERROR(INDEX($C$7:$C$11,MATCH(ROW()-ROW($C$31),$A$7:$A$11,0)),IFERROR(INDEX('Add-on Pricing'!$F$6:$F$22,MATCH(ROW()-ROW($C$31),'Add-on Pricing'!$D$6:$D$22,0)),""))</f>
        <v/>
      </c>
    </row>
    <row r="48" spans="3:10" x14ac:dyDescent="0.2">
      <c r="C48" s="31" t="str">
        <f>IFERROR(INDEX($C$7:$C$11,MATCH(ROW()-ROW($C$31),$A$7:$A$11,0)),IFERROR(INDEX('Add-on Pricing'!$F$6:$F$22,MATCH(ROW()-ROW($C$31),'Add-on Pricing'!$D$6:$D$22,0)),""))</f>
        <v/>
      </c>
    </row>
    <row r="49" spans="3:3" x14ac:dyDescent="0.2">
      <c r="C49" s="31" t="str">
        <f>IFERROR(INDEX($C$7:$C$11,MATCH(ROW()-ROW($C$31),$A$7:$A$11,0)),IFERROR(INDEX('Add-on Pricing'!$F$6:$F$22,MATCH(ROW()-ROW($C$31),'Add-on Pricing'!$D$6:$D$22,0)),""))</f>
        <v/>
      </c>
    </row>
    <row r="50" spans="3:3" x14ac:dyDescent="0.2">
      <c r="C50" s="31" t="str">
        <f>IFERROR(INDEX($C$7:$C$11,MATCH(ROW()-ROW($C$31),$A$7:$A$11,0)),IFERROR(INDEX('Add-on Pricing'!$F$6:$F$22,MATCH(ROW()-ROW($C$31),'Add-on Pricing'!$D$6:$D$22,0)),""))</f>
        <v/>
      </c>
    </row>
    <row r="51" spans="3:3" x14ac:dyDescent="0.2">
      <c r="C51" s="31" t="str">
        <f>IFERROR(INDEX($C$7:$C$11,MATCH(ROW()-ROW($C$31),$A$7:$A$11,0)),IFERROR(INDEX('Add-on Pricing'!$F$6:$F$22,MATCH(ROW()-ROW($C$31),'Add-on Pricing'!$D$6:$D$22,0)),""))</f>
        <v/>
      </c>
    </row>
    <row r="52" spans="3:3" x14ac:dyDescent="0.2">
      <c r="C52" s="31" t="str">
        <f>IFERROR(INDEX($C$7:$C$11,MATCH(ROW()-ROW($C$31),$A$7:$A$11,0)),IFERROR(INDEX('Add-on Pricing'!$F$6:$F$22,MATCH(ROW()-ROW($C$31),'Add-on Pricing'!$D$6:$D$22,0)),""))</f>
        <v/>
      </c>
    </row>
    <row r="53" spans="3:3" x14ac:dyDescent="0.2">
      <c r="C53" s="31" t="str">
        <f>IFERROR(INDEX($C$7:$C$11,MATCH(ROW()-ROW($C$31),$A$7:$A$11,0)),IFERROR(INDEX('Add-on Pricing'!$F$6:$F$22,MATCH(ROW()-ROW($C$31),'Add-on Pricing'!$D$6:$D$22,0)),""))</f>
        <v/>
      </c>
    </row>
    <row r="54" spans="3:3" x14ac:dyDescent="0.2">
      <c r="C54" s="31" t="str">
        <f>IFERROR(INDEX($C$7:$C$11,MATCH(ROW()-ROW($C$31),$A$7:$A$11,0)),IFERROR(INDEX('Add-on Pricing'!$F$6:$F$22,MATCH(ROW()-ROW($C$31),'Add-on Pricing'!$D$6:$D$22,0)),""))</f>
        <v/>
      </c>
    </row>
    <row r="55" spans="3:3" x14ac:dyDescent="0.2">
      <c r="C55" s="31" t="str">
        <f>IFERROR(INDEX($C$7:$C$11,MATCH(ROW()-ROW($C$31),$A$7:$A$11,0)),IFERROR(INDEX('Add-on Pricing'!$F$6:$F$22,MATCH(ROW()-ROW($C$31),'Add-on Pricing'!$D$6:$D$22,0)),""))</f>
        <v/>
      </c>
    </row>
    <row r="56" spans="3:3" x14ac:dyDescent="0.2">
      <c r="C56" s="31" t="str">
        <f>IFERROR(INDEX($C$7:$C$11,MATCH(ROW()-ROW($C$31),$A$7:$A$11,0)),IFERROR(INDEX('Add-on Pricing'!$F$6:$F$22,MATCH(ROW()-ROW($C$31),'Add-on Pricing'!$D$6:$D$22,0)),""))</f>
        <v/>
      </c>
    </row>
    <row r="57" spans="3:3" x14ac:dyDescent="0.2">
      <c r="C57" s="31" t="str">
        <f>IFERROR(INDEX($C$7:$C$11,MATCH(ROW()-ROW($C$31),$A$7:$A$11,0)),IFERROR(INDEX('Add-on Pricing'!$F$6:$F$22,MATCH(ROW()-ROW($C$31),'Add-on Pricing'!$D$6:$D$22,0)),""))</f>
        <v/>
      </c>
    </row>
    <row r="58" spans="3:3" x14ac:dyDescent="0.2">
      <c r="C58" s="31" t="str">
        <f>IFERROR(INDEX($C$7:$C$11,MATCH(ROW()-ROW($B$31),$A$7:$A$11,0)),IFERROR(INDEX('Add-on Pricing'!$F$3:$F$22,MATCH(ROW()-ROW($B$31),'Add-on Pricing'!$D$4:$D$22,0)),""))</f>
        <v/>
      </c>
    </row>
  </sheetData>
  <mergeCells count="11">
    <mergeCell ref="B18:C18"/>
    <mergeCell ref="C11:D11"/>
    <mergeCell ref="C4:Q4"/>
    <mergeCell ref="C5:D6"/>
    <mergeCell ref="C7:D7"/>
    <mergeCell ref="C8:D8"/>
    <mergeCell ref="C9:D9"/>
    <mergeCell ref="C10:D10"/>
    <mergeCell ref="F5:I5"/>
    <mergeCell ref="J5:M5"/>
    <mergeCell ref="N5:Q5"/>
  </mergeCells>
  <conditionalFormatting sqref="B18:C18">
    <cfRule type="notContainsBlanks" dxfId="7" priority="1">
      <formula>LEN(TRIM(B18))&gt;0</formula>
    </cfRule>
  </conditionalFormatting>
  <dataValidations count="2">
    <dataValidation allowBlank="1" showInputMessage="1" showErrorMessage="1" promptTitle="SKU" prompt="VSP-ESPL-TD-TL-3P-C" sqref="N7:N11 M7:M10" xr:uid="{AB2450E5-8723-4C0F-914A-31A8050060B3}"/>
    <dataValidation allowBlank="1" showErrorMessage="1" sqref="H9:H10" xr:uid="{3BF1863B-28FB-43EA-A5B9-C471B8A78319}"/>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726F31B9-94D2-44B7-AE32-DE8D1AC83C9D}">
            <xm:f>'VMware by Broadcom'!$C$16="GBP"</xm:f>
            <x14:dxf>
              <numFmt numFmtId="176" formatCode="&quot;£&quot;#,##0.00"/>
            </x14:dxf>
          </x14:cfRule>
          <x14:cfRule type="expression" priority="3" id="{1233CC33-80F5-4259-BF83-8D652B9825D2}">
            <xm:f>'VMware by Broadcom'!$C$16="EUR"</xm:f>
            <x14:dxf>
              <numFmt numFmtId="167" formatCode="[$€-2]\ #,##0.00"/>
            </x14:dxf>
          </x14:cfRule>
          <x14:cfRule type="expression" priority="4" id="{9A396A85-5BDF-470E-B629-5D3D8B226071}">
            <xm:f>'VMware by Broadcom'!$C$16="USD"</xm:f>
            <x14:dxf>
              <numFmt numFmtId="175" formatCode="[$$-409]#,##0.00"/>
            </x14:dxf>
          </x14:cfRule>
          <xm:sqref>I7:J11 M7:N11 Q7:Q11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DBA7-30EB-4DB1-8283-C148448B4BBD}">
  <dimension ref="D3:U63"/>
  <sheetViews>
    <sheetView workbookViewId="0">
      <selection activeCell="F49" sqref="F49"/>
    </sheetView>
  </sheetViews>
  <sheetFormatPr defaultColWidth="9.140625" defaultRowHeight="14.25" x14ac:dyDescent="0.2"/>
  <cols>
    <col min="1" max="1" width="9.140625" style="31"/>
    <col min="2" max="2" width="11.7109375" style="31" customWidth="1"/>
    <col min="3" max="5" width="9.140625" style="31" customWidth="1"/>
    <col min="6" max="6" width="72.28515625" style="31" customWidth="1"/>
    <col min="7" max="8" width="17" style="31" customWidth="1"/>
    <col min="9" max="9" width="34" style="31" customWidth="1"/>
    <col min="10" max="11" width="18.5703125" style="31" bestFit="1" customWidth="1"/>
    <col min="12" max="12" width="15.28515625" style="31" customWidth="1"/>
    <col min="13" max="13" width="31" style="31" bestFit="1" customWidth="1"/>
    <col min="14" max="15" width="18.5703125" style="31" bestFit="1" customWidth="1"/>
    <col min="16" max="16" width="16.140625" style="31" customWidth="1"/>
    <col min="17" max="17" width="24" style="31" bestFit="1" customWidth="1"/>
    <col min="18" max="18" width="17.5703125" style="31" bestFit="1" customWidth="1"/>
    <col min="19" max="19" width="18.5703125" style="31" bestFit="1" customWidth="1"/>
    <col min="20" max="20" width="13.85546875" style="31" customWidth="1"/>
    <col min="21" max="21" width="17.5703125" style="31" bestFit="1" customWidth="1"/>
    <col min="22" max="16384" width="9.140625" style="31"/>
  </cols>
  <sheetData>
    <row r="3" spans="4:21" x14ac:dyDescent="0.2">
      <c r="E3" s="438" t="s">
        <v>216</v>
      </c>
      <c r="F3" s="440" t="str">
        <f>"Add-on prices / "&amp; 'VMware by Broadcom'!C16</f>
        <v>Add-on prices / EUR</v>
      </c>
      <c r="G3" s="441"/>
      <c r="H3" s="441"/>
      <c r="I3" s="441"/>
      <c r="J3" s="441"/>
      <c r="K3" s="441"/>
      <c r="L3" s="441"/>
      <c r="M3" s="441"/>
      <c r="N3" s="441"/>
      <c r="O3" s="440"/>
      <c r="P3" s="440"/>
      <c r="Q3" s="440"/>
      <c r="R3" s="440"/>
      <c r="S3" s="440"/>
    </row>
    <row r="4" spans="4:21" x14ac:dyDescent="0.2">
      <c r="D4" s="136"/>
      <c r="E4" s="438"/>
      <c r="F4" s="439" t="s">
        <v>217</v>
      </c>
      <c r="G4" s="439" t="s">
        <v>218</v>
      </c>
      <c r="H4" s="442"/>
      <c r="I4" s="443"/>
      <c r="J4" s="443"/>
      <c r="K4" s="443"/>
      <c r="L4" s="443"/>
      <c r="M4" s="443"/>
      <c r="N4" s="443"/>
      <c r="O4" s="443"/>
      <c r="P4" s="443"/>
      <c r="Q4" s="443"/>
      <c r="R4" s="443"/>
      <c r="S4" s="444"/>
    </row>
    <row r="5" spans="4:21" x14ac:dyDescent="0.2">
      <c r="D5" s="136"/>
      <c r="E5" s="438"/>
      <c r="F5" s="439"/>
      <c r="G5" s="439"/>
      <c r="H5" s="137"/>
      <c r="I5" s="138" t="s">
        <v>129</v>
      </c>
      <c r="J5" s="138" t="s">
        <v>219</v>
      </c>
      <c r="K5" s="138" t="s">
        <v>13</v>
      </c>
      <c r="L5" s="138"/>
      <c r="M5" s="138" t="s">
        <v>129</v>
      </c>
      <c r="N5" s="138" t="s">
        <v>219</v>
      </c>
      <c r="O5" s="139" t="s">
        <v>205</v>
      </c>
      <c r="P5" s="138"/>
      <c r="Q5" s="138" t="s">
        <v>129</v>
      </c>
      <c r="R5" s="138" t="s">
        <v>219</v>
      </c>
      <c r="S5" s="138" t="s">
        <v>13</v>
      </c>
      <c r="T5" s="138" t="s">
        <v>203</v>
      </c>
    </row>
    <row r="6" spans="4:21" x14ac:dyDescent="0.2">
      <c r="D6" s="138" t="str">
        <f>IF('Add-on Pricing'!G6="No","",MAX('vSphere Pricing'!A$4:A$11,D$4:D5)+1)</f>
        <v/>
      </c>
      <c r="E6" s="138" t="str">
        <f>IF(G6="No","",MAX(E$5:E5)+1)</f>
        <v/>
      </c>
      <c r="F6" s="152" t="s">
        <v>220</v>
      </c>
      <c r="G6" s="137" t="str">
        <f>IF('VMware by Broadcom'!D52="Yes","Yes","No")</f>
        <v>No</v>
      </c>
      <c r="H6" s="137" t="s">
        <v>206</v>
      </c>
      <c r="I6" s="138" t="s">
        <v>221</v>
      </c>
      <c r="J6" s="166">
        <v>400</v>
      </c>
      <c r="K6" s="141">
        <f>VLOOKUP('VMware by Broadcom'!$C$16,'Currency and Contacts'!$H$4:$I$18,2,0)*J6</f>
        <v>367.72</v>
      </c>
      <c r="L6" s="141" t="s">
        <v>109</v>
      </c>
      <c r="M6" s="140" t="s">
        <v>221</v>
      </c>
      <c r="N6" s="166">
        <f>IF(L6="NA",0,J6*3)</f>
        <v>1200</v>
      </c>
      <c r="O6" s="141">
        <f>VLOOKUP('VMware by Broadcom'!$C$16,'Currency and Contacts'!$H$4:$I$18,2,0)*N6</f>
        <v>1103.1600000000001</v>
      </c>
      <c r="P6" s="141" t="s">
        <v>110</v>
      </c>
      <c r="Q6" s="140" t="s">
        <v>221</v>
      </c>
      <c r="R6" s="166">
        <f>IF(P6="NA",0,J6*5)</f>
        <v>2000</v>
      </c>
      <c r="S6" s="141">
        <f>VLOOKUP('VMware by Broadcom'!$C$16,'Currency and Contacts'!$H$4:$I$18,2,0)*R6</f>
        <v>1838.6</v>
      </c>
      <c r="T6" s="138">
        <f>'VMware by Broadcom'!I52</f>
        <v>1</v>
      </c>
    </row>
    <row r="7" spans="4:21" x14ac:dyDescent="0.2">
      <c r="D7" s="138" t="str">
        <f>IF('Add-on Pricing'!G7="No","",MAX('vSphere Pricing'!A$4:A$11,D$4:D6)+1)</f>
        <v/>
      </c>
      <c r="E7" s="138" t="str">
        <f>IF(G7="No","",MAX(E$5:E6)+1)</f>
        <v/>
      </c>
      <c r="F7" s="152" t="s">
        <v>222</v>
      </c>
      <c r="G7" s="137" t="str">
        <f>IF('VMware by Broadcom'!D52="Yes","Yes","No")</f>
        <v>No</v>
      </c>
      <c r="H7" s="137" t="s">
        <v>206</v>
      </c>
      <c r="I7" s="138" t="s">
        <v>223</v>
      </c>
      <c r="J7" s="166">
        <v>3450</v>
      </c>
      <c r="K7" s="141">
        <f>VLOOKUP('VMware by Broadcom'!$C$16,'Currency and Contacts'!$H$4:$I$18,2,0)*J7</f>
        <v>3171.585</v>
      </c>
      <c r="L7" s="141" t="s">
        <v>109</v>
      </c>
      <c r="M7" s="140" t="s">
        <v>223</v>
      </c>
      <c r="N7" s="166">
        <f t="shared" ref="N7:N17" si="0">IF(L7="NA",0,J7*3)</f>
        <v>10350</v>
      </c>
      <c r="O7" s="141">
        <f>VLOOKUP('VMware by Broadcom'!$C$16,'Currency and Contacts'!$H$4:$I$18,2,0)*N7</f>
        <v>9514.7549999999992</v>
      </c>
      <c r="P7" s="141" t="s">
        <v>110</v>
      </c>
      <c r="Q7" s="140" t="s">
        <v>223</v>
      </c>
      <c r="R7" s="166">
        <f t="shared" ref="R7:R25" si="1">IF(P7="NA",0,J7*5)</f>
        <v>17250</v>
      </c>
      <c r="S7" s="141">
        <f>VLOOKUP('VMware by Broadcom'!$C$16,'Currency and Contacts'!$H$4:$I$18,2,0)*R7</f>
        <v>15857.924999999999</v>
      </c>
      <c r="T7" s="138">
        <f>IF('VMware by Broadcom'!K52&lt;10,10,'VMware by Broadcom'!K52)</f>
        <v>10</v>
      </c>
    </row>
    <row r="8" spans="4:21" x14ac:dyDescent="0.2">
      <c r="D8" s="138" t="str">
        <f>IF('Add-on Pricing'!G8="No","",MAX('vSphere Pricing'!A$4:A$11,D$4:D7)+1)</f>
        <v/>
      </c>
      <c r="E8" s="138" t="str">
        <f>IF(G8="No","",MAX(E$5:E7)+1)</f>
        <v/>
      </c>
      <c r="F8" s="153" t="s">
        <v>224</v>
      </c>
      <c r="G8" s="137" t="str">
        <f>IF('VMware by Broadcom'!D53="Yes","Yes","No")</f>
        <v>No</v>
      </c>
      <c r="H8" s="137" t="s">
        <v>206</v>
      </c>
      <c r="I8" s="138" t="s">
        <v>221</v>
      </c>
      <c r="J8" s="166">
        <v>400</v>
      </c>
      <c r="K8" s="141">
        <f>VLOOKUP('VMware by Broadcom'!$C$16,'Currency and Contacts'!$H$4:$I$18,2,0)*J8</f>
        <v>367.72</v>
      </c>
      <c r="L8" s="141" t="s">
        <v>109</v>
      </c>
      <c r="M8" s="140" t="s">
        <v>221</v>
      </c>
      <c r="N8" s="166">
        <f t="shared" si="0"/>
        <v>1200</v>
      </c>
      <c r="O8" s="141">
        <f>VLOOKUP('VMware by Broadcom'!$C$16,'Currency and Contacts'!$H$4:$I$18,2,0)*N8</f>
        <v>1103.1600000000001</v>
      </c>
      <c r="P8" s="141" t="s">
        <v>110</v>
      </c>
      <c r="Q8" s="138" t="s">
        <v>221</v>
      </c>
      <c r="R8" s="166">
        <f t="shared" si="1"/>
        <v>2000</v>
      </c>
      <c r="S8" s="141">
        <f>VLOOKUP('VMware by Broadcom'!$C$16,'Currency and Contacts'!$H$4:$I$18,2,0)*R8</f>
        <v>1838.6</v>
      </c>
      <c r="T8" s="138">
        <f>'VMware by Broadcom'!I53</f>
        <v>150</v>
      </c>
    </row>
    <row r="9" spans="4:21" x14ac:dyDescent="0.2">
      <c r="D9" s="138" t="str">
        <f>IF('Add-on Pricing'!G9="No","",MAX('vSphere Pricing'!A$4:A$11,D$4:D8)+1)</f>
        <v/>
      </c>
      <c r="E9" s="138" t="str">
        <f>IF(G9="No","",MAX(E$5:E8)+1)</f>
        <v/>
      </c>
      <c r="F9" s="154" t="s">
        <v>225</v>
      </c>
      <c r="G9" s="137" t="str">
        <f>IF('VMware by Broadcom'!F56="Yes","Yes","No")</f>
        <v>No</v>
      </c>
      <c r="H9" s="137" t="s">
        <v>206</v>
      </c>
      <c r="I9" s="138" t="s">
        <v>226</v>
      </c>
      <c r="J9" s="166">
        <v>5695</v>
      </c>
      <c r="K9" s="141">
        <f>VLOOKUP('VMware by Broadcom'!$C$16,'Currency and Contacts'!$H$4:$I$18,2,0)*J9</f>
        <v>5235.4134999999997</v>
      </c>
      <c r="L9" s="141" t="s">
        <v>109</v>
      </c>
      <c r="M9" s="138" t="s">
        <v>226</v>
      </c>
      <c r="N9" s="166">
        <f t="shared" si="0"/>
        <v>17085</v>
      </c>
      <c r="O9" s="141">
        <f>VLOOKUP('VMware by Broadcom'!$C$16,'Currency and Contacts'!$H$4:$I$18,2,0)*N9</f>
        <v>15706.2405</v>
      </c>
      <c r="P9" s="141" t="s">
        <v>110</v>
      </c>
      <c r="Q9" s="138" t="s">
        <v>226</v>
      </c>
      <c r="R9" s="166">
        <f t="shared" si="1"/>
        <v>28475</v>
      </c>
      <c r="S9" s="141">
        <f>VLOOKUP('VMware by Broadcom'!$C$16,'Currency and Contacts'!$H$4:$I$18,2,0)*R9</f>
        <v>26177.067500000001</v>
      </c>
      <c r="T9" s="138">
        <f>'VMware by Broadcom'!I56</f>
        <v>6</v>
      </c>
    </row>
    <row r="10" spans="4:21" x14ac:dyDescent="0.2">
      <c r="D10" s="138" t="str">
        <f>IF('Add-on Pricing'!G10="No","",MAX('vSphere Pricing'!A$4:A$11,D$4:D9)+1)</f>
        <v/>
      </c>
      <c r="E10" s="138" t="str">
        <f>IF(G10="No","",MAX(E$5:E9)+1)</f>
        <v/>
      </c>
      <c r="F10" s="226" t="s">
        <v>70</v>
      </c>
      <c r="G10" s="137" t="str">
        <f>IF(AND('VMware by Broadcom'!F58="Yes",'VMware by Broadcom'!J58="Managed"),"Yes","No")</f>
        <v>No</v>
      </c>
      <c r="H10" s="137" t="s">
        <v>206</v>
      </c>
      <c r="I10" s="138" t="s">
        <v>227</v>
      </c>
      <c r="J10" s="166">
        <v>1000</v>
      </c>
      <c r="K10" s="141">
        <f>VLOOKUP('VMware by Broadcom'!$C$16,'Currency and Contacts'!$H$4:$I$18,2,0)*J10</f>
        <v>919.3</v>
      </c>
      <c r="L10" s="141" t="s">
        <v>109</v>
      </c>
      <c r="M10" s="138" t="s">
        <v>227</v>
      </c>
      <c r="N10" s="166">
        <f t="shared" si="0"/>
        <v>3000</v>
      </c>
      <c r="O10" s="141">
        <f>VLOOKUP('VMware by Broadcom'!$C$16,'Currency and Contacts'!$H$4:$I$18,2,0)*N10</f>
        <v>2757.9</v>
      </c>
      <c r="P10" s="141" t="s">
        <v>110</v>
      </c>
      <c r="Q10" s="138" t="s">
        <v>227</v>
      </c>
      <c r="R10" s="166">
        <f t="shared" si="1"/>
        <v>5000</v>
      </c>
      <c r="S10" s="141">
        <f>VLOOKUP('VMware by Broadcom'!$C$16,'Currency and Contacts'!$H$4:$I$18,2,0)*R10</f>
        <v>4596.5</v>
      </c>
      <c r="T10" s="138">
        <f>IF(G10="No",0,IF('VMware by Broadcom'!I58&lt;50,50,'VMware by Broadcom'!I58))</f>
        <v>0</v>
      </c>
      <c r="U10" s="31" t="s">
        <v>228</v>
      </c>
    </row>
    <row r="11" spans="4:21" x14ac:dyDescent="0.2">
      <c r="D11" s="138" t="str">
        <f>IF('Add-on Pricing'!G11="No","",MAX('vSphere Pricing'!A$4:A$11,D$4:D10)+1)</f>
        <v/>
      </c>
      <c r="E11" s="138" t="str">
        <f>IF(G11="No","",MAX(E$5:E10)+1)</f>
        <v/>
      </c>
      <c r="F11" s="154" t="s">
        <v>229</v>
      </c>
      <c r="G11" s="137" t="str">
        <f>IF(AND('VMware by Broadcom'!F58="Yes",'VMware by Broadcom'!J58="Self-managed"),"Yes","No")</f>
        <v>No</v>
      </c>
      <c r="H11" s="137" t="s">
        <v>206</v>
      </c>
      <c r="I11" s="138" t="s">
        <v>230</v>
      </c>
      <c r="J11" s="166">
        <v>1000</v>
      </c>
      <c r="K11" s="141">
        <f>VLOOKUP('VMware by Broadcom'!$C$16,'Currency and Contacts'!$H$4:$I$18,2,0)*J11</f>
        <v>919.3</v>
      </c>
      <c r="L11" s="141" t="s">
        <v>109</v>
      </c>
      <c r="M11" s="138" t="s">
        <v>230</v>
      </c>
      <c r="N11" s="166">
        <f t="shared" si="0"/>
        <v>3000</v>
      </c>
      <c r="O11" s="141">
        <f>VLOOKUP('VMware by Broadcom'!$C$16,'Currency and Contacts'!$H$4:$I$18,2,0)*N11</f>
        <v>2757.9</v>
      </c>
      <c r="P11" s="141" t="s">
        <v>110</v>
      </c>
      <c r="Q11" s="138" t="s">
        <v>230</v>
      </c>
      <c r="R11" s="166">
        <f t="shared" si="1"/>
        <v>5000</v>
      </c>
      <c r="S11" s="141">
        <f>VLOOKUP('VMware by Broadcom'!$C$16,'Currency and Contacts'!$H$4:$I$18,2,0)*R11</f>
        <v>4596.5</v>
      </c>
      <c r="T11" s="138">
        <f>IF(G11="No",0,IF('VMware by Broadcom'!I58&lt;50,50,'VMware by Broadcom'!I58))</f>
        <v>0</v>
      </c>
      <c r="U11" s="31" t="s">
        <v>228</v>
      </c>
    </row>
    <row r="12" spans="4:21" x14ac:dyDescent="0.2">
      <c r="D12" s="138" t="str">
        <f>IF('Add-on Pricing'!G12="No","",MAX('vSphere Pricing'!A$4:A$11,D$4:D11)+1)</f>
        <v/>
      </c>
      <c r="E12" s="138" t="str">
        <f>IF(G12="No","",MAX(E$5:E11)+1)</f>
        <v/>
      </c>
      <c r="F12" s="154" t="s">
        <v>73</v>
      </c>
      <c r="G12" s="137" t="str">
        <f>IF(AND('VMware by Broadcom'!F60="Yes",'VMware by Broadcom'!J60="Managed"),"Yes","No")</f>
        <v>No</v>
      </c>
      <c r="H12" s="137" t="s">
        <v>206</v>
      </c>
      <c r="I12" s="138" t="s">
        <v>231</v>
      </c>
      <c r="J12" s="188">
        <v>500</v>
      </c>
      <c r="K12" s="141">
        <f>VLOOKUP('VMware by Broadcom'!$C$16,'Currency and Contacts'!$H$4:$I$18,2,0)*J12</f>
        <v>459.65</v>
      </c>
      <c r="L12" s="141" t="s">
        <v>109</v>
      </c>
      <c r="M12" s="138" t="s">
        <v>231</v>
      </c>
      <c r="N12" s="166">
        <f t="shared" si="0"/>
        <v>1500</v>
      </c>
      <c r="O12" s="141">
        <f>VLOOKUP('VMware by Broadcom'!$C$16,'Currency and Contacts'!$H$4:$I$18,2,0)*N12</f>
        <v>1378.95</v>
      </c>
      <c r="P12" s="141" t="s">
        <v>110</v>
      </c>
      <c r="Q12" s="138" t="s">
        <v>231</v>
      </c>
      <c r="R12" s="166">
        <f t="shared" si="1"/>
        <v>2500</v>
      </c>
      <c r="S12" s="141">
        <f>VLOOKUP('VMware by Broadcom'!$C$16,'Currency and Contacts'!$H$4:$I$18,2,0)*R12</f>
        <v>2298.25</v>
      </c>
      <c r="T12" s="138">
        <f>IF(G12="No",0,IF('VMware by Broadcom'!I60&lt;100,100,'VMware by Broadcom'!I60))</f>
        <v>0</v>
      </c>
      <c r="U12" s="31" t="s">
        <v>232</v>
      </c>
    </row>
    <row r="13" spans="4:21" x14ac:dyDescent="0.2">
      <c r="D13" s="138" t="str">
        <f>IF('Add-on Pricing'!G13="No","",MAX('vSphere Pricing'!A$4:A$11,D$4:D12)+1)</f>
        <v/>
      </c>
      <c r="E13" s="138" t="str">
        <f>IF(G13="No","",MAX(E$5:E12)+1)</f>
        <v/>
      </c>
      <c r="F13" s="154" t="s">
        <v>233</v>
      </c>
      <c r="G13" s="137" t="str">
        <f>IF(AND('VMware by Broadcom'!F60="Yes",'VMware by Broadcom'!J60="Self-managed"),"Yes","No")</f>
        <v>No</v>
      </c>
      <c r="H13" s="137" t="s">
        <v>206</v>
      </c>
      <c r="I13" s="138" t="s">
        <v>234</v>
      </c>
      <c r="J13" s="188">
        <v>500</v>
      </c>
      <c r="K13" s="141">
        <f>VLOOKUP('VMware by Broadcom'!$C$16,'Currency and Contacts'!$H$4:$I$18,2,0)*J13</f>
        <v>459.65</v>
      </c>
      <c r="L13" s="141" t="s">
        <v>109</v>
      </c>
      <c r="M13" s="138" t="s">
        <v>234</v>
      </c>
      <c r="N13" s="166">
        <f t="shared" si="0"/>
        <v>1500</v>
      </c>
      <c r="O13" s="141">
        <f>VLOOKUP('VMware by Broadcom'!$C$16,'Currency and Contacts'!$H$4:$I$18,2,0)*N13</f>
        <v>1378.95</v>
      </c>
      <c r="P13" s="141" t="s">
        <v>110</v>
      </c>
      <c r="Q13" s="138" t="s">
        <v>234</v>
      </c>
      <c r="R13" s="166">
        <f t="shared" si="1"/>
        <v>2500</v>
      </c>
      <c r="S13" s="141">
        <f>VLOOKUP('VMware by Broadcom'!$C$16,'Currency and Contacts'!$H$4:$I$18,2,0)*R13</f>
        <v>2298.25</v>
      </c>
      <c r="T13" s="138">
        <f>IF(G13="No",0,IF('VMware by Broadcom'!I60&lt;100,100,'VMware by Broadcom'!I60))</f>
        <v>0</v>
      </c>
      <c r="U13" s="31" t="s">
        <v>232</v>
      </c>
    </row>
    <row r="14" spans="4:21" x14ac:dyDescent="0.2">
      <c r="D14" s="138" t="str">
        <f>IF('Add-on Pricing'!G14="No","",MAX('vSphere Pricing'!A$4:A$11,D$4:D13)+1)</f>
        <v/>
      </c>
      <c r="E14" s="138" t="str">
        <f>IF(G14="No","",MAX(E$5:E13)+1)</f>
        <v/>
      </c>
      <c r="F14" s="294" t="s">
        <v>235</v>
      </c>
      <c r="G14" s="295" t="str">
        <f>IF(AND('VMware by Broadcom'!F61="Yes",'VMware by Broadcom'!J61="Managed",'VMware by Broadcom'!F58="Optional"),"Yes","No")</f>
        <v>No</v>
      </c>
      <c r="H14" s="295" t="s">
        <v>206</v>
      </c>
      <c r="I14" s="296" t="s">
        <v>236</v>
      </c>
      <c r="J14" s="297">
        <v>1000</v>
      </c>
      <c r="K14" s="141">
        <f>VLOOKUP('VMware by Broadcom'!$C$16,'Currency and Contacts'!$H$4:$I$18,2,0)*J14</f>
        <v>919.3</v>
      </c>
      <c r="L14" s="141" t="s">
        <v>109</v>
      </c>
      <c r="M14" s="138" t="s">
        <v>236</v>
      </c>
      <c r="N14" s="166">
        <f t="shared" si="0"/>
        <v>3000</v>
      </c>
      <c r="O14" s="141">
        <f>VLOOKUP('VMware by Broadcom'!$C$16,'Currency and Contacts'!$H$4:$I$18,2,0)*N14</f>
        <v>2757.9</v>
      </c>
      <c r="P14" s="141" t="s">
        <v>110</v>
      </c>
      <c r="Q14" s="138" t="s">
        <v>236</v>
      </c>
      <c r="R14" s="166">
        <f t="shared" si="1"/>
        <v>5000</v>
      </c>
      <c r="S14" s="141">
        <f>VLOOKUP('VMware by Broadcom'!$C$16,'Currency and Contacts'!$H$4:$I$18,2,0)*R14</f>
        <v>4596.5</v>
      </c>
      <c r="T14" s="138">
        <f>IF(G14="No",0,IF('VMware by Broadcom'!I61&lt;100,50,ROUNDUP('VMware by Broadcom'!I61/2,0)))</f>
        <v>0</v>
      </c>
      <c r="U14" s="31" t="s">
        <v>232</v>
      </c>
    </row>
    <row r="15" spans="4:21" x14ac:dyDescent="0.2">
      <c r="D15" s="138" t="str">
        <f>IF('Add-on Pricing'!G15="No","",MAX('vSphere Pricing'!A$4:A$11,D$4:D14)+1)</f>
        <v/>
      </c>
      <c r="E15" s="138" t="str">
        <f>IF(G15="No","",MAX(E$5:E14)+1)</f>
        <v/>
      </c>
      <c r="F15" s="154" t="s">
        <v>237</v>
      </c>
      <c r="G15" s="137" t="str">
        <f>IF(AND('VMware by Broadcom'!F61="Yes",'VMware by Broadcom'!J61="Self-managed",'VMware by Broadcom'!F58="Optional"),"Yes","No")</f>
        <v>No</v>
      </c>
      <c r="H15" s="137" t="s">
        <v>206</v>
      </c>
      <c r="I15" s="138" t="s">
        <v>230</v>
      </c>
      <c r="J15" s="166">
        <v>1000</v>
      </c>
      <c r="K15" s="141">
        <f>VLOOKUP('VMware by Broadcom'!$C$16,'Currency and Contacts'!$H$4:$I$18,2,0)*J15</f>
        <v>919.3</v>
      </c>
      <c r="L15" s="141" t="s">
        <v>109</v>
      </c>
      <c r="M15" s="138" t="s">
        <v>230</v>
      </c>
      <c r="N15" s="166">
        <f t="shared" si="0"/>
        <v>3000</v>
      </c>
      <c r="O15" s="141">
        <f>VLOOKUP('VMware by Broadcom'!$C$16,'Currency and Contacts'!$H$4:$I$18,2,0)*N15</f>
        <v>2757.9</v>
      </c>
      <c r="P15" s="141" t="s">
        <v>110</v>
      </c>
      <c r="Q15" s="138" t="s">
        <v>230</v>
      </c>
      <c r="R15" s="166">
        <f t="shared" si="1"/>
        <v>5000</v>
      </c>
      <c r="S15" s="141">
        <f>VLOOKUP('VMware by Broadcom'!$C$16,'Currency and Contacts'!$H$4:$I$18,2,0)*R15</f>
        <v>4596.5</v>
      </c>
      <c r="T15" s="138">
        <f>IF(G15="No",0,IF('VMware by Broadcom'!I61&lt;100,50,ROUNDUP('VMware by Broadcom'!I61/2,0)))</f>
        <v>0</v>
      </c>
      <c r="U15" s="31" t="s">
        <v>232</v>
      </c>
    </row>
    <row r="16" spans="4:21" x14ac:dyDescent="0.2">
      <c r="D16" s="138" t="str">
        <f>IF('Add-on Pricing'!G16="No","",MAX('vSphere Pricing'!A$4:A$11,D$4:D15)+1)</f>
        <v/>
      </c>
      <c r="E16" s="138" t="str">
        <f>IF(G16="No","",MAX(E$5:E15)+1)</f>
        <v/>
      </c>
      <c r="F16" s="226" t="s">
        <v>238</v>
      </c>
      <c r="G16" s="137" t="str">
        <f>IF('VMware by Broadcom'!F64="Yes","Yes","No")</f>
        <v>No</v>
      </c>
      <c r="H16" s="137" t="s">
        <v>206</v>
      </c>
      <c r="I16" s="138" t="s">
        <v>239</v>
      </c>
      <c r="J16" s="166">
        <v>112</v>
      </c>
      <c r="K16" s="141">
        <f>VLOOKUP('VMware by Broadcom'!$C$16,'Currency and Contacts'!$H$4:$I$18,2,0)*J16</f>
        <v>102.9616</v>
      </c>
      <c r="L16" s="141" t="s">
        <v>109</v>
      </c>
      <c r="M16" s="138" t="s">
        <v>239</v>
      </c>
      <c r="N16" s="166">
        <f t="shared" si="0"/>
        <v>336</v>
      </c>
      <c r="O16" s="141">
        <f>VLOOKUP('VMware by Broadcom'!$C$16,'Currency and Contacts'!$H$4:$I$18,2,0)*N16</f>
        <v>308.88479999999998</v>
      </c>
      <c r="P16" s="141" t="s">
        <v>110</v>
      </c>
      <c r="Q16" s="138" t="s">
        <v>239</v>
      </c>
      <c r="R16" s="166">
        <f t="shared" si="1"/>
        <v>560</v>
      </c>
      <c r="S16" s="141">
        <f>VLOOKUP('VMware by Broadcom'!$C$16,'Currency and Contacts'!$H$4:$I$18,2,0)*R16</f>
        <v>514.80799999999999</v>
      </c>
      <c r="T16" s="138">
        <v>1</v>
      </c>
      <c r="U16" s="31" t="s">
        <v>232</v>
      </c>
    </row>
    <row r="17" spans="4:21" x14ac:dyDescent="0.2">
      <c r="D17" s="138" t="str">
        <f>IF('Add-on Pricing'!G17="No","",MAX('vSphere Pricing'!A$4:A$11,D$4:D16)+1)</f>
        <v/>
      </c>
      <c r="E17" s="138" t="str">
        <f>IF(G17="No","",MAX(E$5:E16)+1)</f>
        <v/>
      </c>
      <c r="F17" s="226" t="s">
        <v>240</v>
      </c>
      <c r="G17" s="137" t="str">
        <f>IF('VMware by Broadcom'!F59="Yes","Yes","No")</f>
        <v>No</v>
      </c>
      <c r="H17" s="137" t="s">
        <v>206</v>
      </c>
      <c r="I17" s="138" t="s">
        <v>241</v>
      </c>
      <c r="J17" s="166">
        <v>1000</v>
      </c>
      <c r="K17" s="141">
        <f>VLOOKUP('VMware by Broadcom'!$C$16,'Currency and Contacts'!$H$4:$I$18,2,0)*J17</f>
        <v>919.3</v>
      </c>
      <c r="L17" s="141" t="s">
        <v>109</v>
      </c>
      <c r="M17" s="138" t="s">
        <v>241</v>
      </c>
      <c r="N17" s="166">
        <f t="shared" si="0"/>
        <v>3000</v>
      </c>
      <c r="O17" s="141">
        <f>VLOOKUP('VMware by Broadcom'!$C$16,'Currency and Contacts'!$H$4:$I$18,2,0)*N17</f>
        <v>2757.9</v>
      </c>
      <c r="P17" s="141" t="s">
        <v>110</v>
      </c>
      <c r="Q17" s="138" t="s">
        <v>241</v>
      </c>
      <c r="R17" s="166">
        <f t="shared" si="1"/>
        <v>5000</v>
      </c>
      <c r="S17" s="141">
        <f>VLOOKUP('VMware by Broadcom'!$C$16,'Currency and Contacts'!$H$4:$I$18,2,0)*R17</f>
        <v>4596.5</v>
      </c>
      <c r="T17" s="138">
        <f>IF(G17="No",0,IF('VMware by Broadcom'!I59&lt;50,50,'VMware by Broadcom'!I59))</f>
        <v>0</v>
      </c>
      <c r="U17" s="31" t="s">
        <v>228</v>
      </c>
    </row>
    <row r="18" spans="4:21" x14ac:dyDescent="0.2">
      <c r="D18" s="138" t="str">
        <f>IF('Add-on Pricing'!G18="No","",MAX('vSphere Pricing'!A$4:A$11,D$4:D17)+1)</f>
        <v/>
      </c>
      <c r="E18" s="138" t="str">
        <f>IF(G18="No","",MAX(E$5:E17)+1)</f>
        <v/>
      </c>
      <c r="F18" s="154" t="s">
        <v>80</v>
      </c>
      <c r="G18" s="137" t="str">
        <f>IF('VMware by Broadcom'!G67="Yes","No",IF('VMware by Broadcom'!G66="Yes","Yes","No"))</f>
        <v>No</v>
      </c>
      <c r="H18" s="137" t="s">
        <v>206</v>
      </c>
      <c r="I18" s="138" t="s">
        <v>242</v>
      </c>
      <c r="J18" s="166">
        <v>120</v>
      </c>
      <c r="K18" s="141">
        <f>VLOOKUP('VMware by Broadcom'!$C$16,'Currency and Contacts'!$H$4:$I$18,2,0)*J18</f>
        <v>110.316</v>
      </c>
      <c r="L18" s="141" t="s">
        <v>109</v>
      </c>
      <c r="M18" s="138" t="s">
        <v>242</v>
      </c>
      <c r="N18" s="166">
        <f>IF(L18="NA",0,J18*3)</f>
        <v>360</v>
      </c>
      <c r="O18" s="141">
        <f>VLOOKUP('VMware by Broadcom'!$C$16,'Currency and Contacts'!$H$4:$I$18,2,0)*N18</f>
        <v>330.94799999999998</v>
      </c>
      <c r="P18" s="141" t="s">
        <v>110</v>
      </c>
      <c r="Q18" s="138" t="s">
        <v>242</v>
      </c>
      <c r="R18" s="166">
        <f t="shared" si="1"/>
        <v>600</v>
      </c>
      <c r="S18" s="141">
        <f>VLOOKUP('VMware by Broadcom'!$C$16,'Currency and Contacts'!$H$4:$I$18,2,0)*R18</f>
        <v>551.58000000000004</v>
      </c>
      <c r="T18" s="138">
        <f>'VMware by Broadcom'!I66</f>
        <v>100</v>
      </c>
    </row>
    <row r="19" spans="4:21" x14ac:dyDescent="0.2">
      <c r="D19" s="138" t="str">
        <f>IF('Add-on Pricing'!G19="No","",MAX('vSphere Pricing'!A$4:A$11,D$4:D18)+1)</f>
        <v/>
      </c>
      <c r="E19" s="138" t="str">
        <f>IF(G19="No","",MAX(E$5:E18)+1)</f>
        <v/>
      </c>
      <c r="F19" s="154" t="s">
        <v>243</v>
      </c>
      <c r="G19" s="137" t="str">
        <f>IF('VMware by Broadcom'!G67="Yes","Yes","No")</f>
        <v>No</v>
      </c>
      <c r="H19" s="137" t="s">
        <v>206</v>
      </c>
      <c r="I19" s="138" t="s">
        <v>244</v>
      </c>
      <c r="J19" s="166">
        <v>200</v>
      </c>
      <c r="K19" s="141">
        <f>VLOOKUP('VMware by Broadcom'!$C$16,'Currency and Contacts'!$H$4:$I$18,2,0)*J19</f>
        <v>183.86</v>
      </c>
      <c r="L19" s="141" t="s">
        <v>109</v>
      </c>
      <c r="M19" s="138" t="s">
        <v>244</v>
      </c>
      <c r="N19" s="166">
        <f t="shared" ref="N19:N25" si="2">IF(L19="NA",0,J19*3)</f>
        <v>600</v>
      </c>
      <c r="O19" s="141">
        <f>VLOOKUP('VMware by Broadcom'!$C$16,'Currency and Contacts'!$H$4:$I$18,2,0)*N19</f>
        <v>551.58000000000004</v>
      </c>
      <c r="P19" s="141" t="s">
        <v>110</v>
      </c>
      <c r="Q19" s="138" t="s">
        <v>244</v>
      </c>
      <c r="R19" s="166">
        <f t="shared" si="1"/>
        <v>1000</v>
      </c>
      <c r="S19" s="141">
        <f>VLOOKUP('VMware by Broadcom'!$C$16,'Currency and Contacts'!$H$4:$I$18,2,0)*R19</f>
        <v>919.3</v>
      </c>
      <c r="T19" s="138">
        <f>'VMware by Broadcom'!I67</f>
        <v>100</v>
      </c>
    </row>
    <row r="20" spans="4:21" x14ac:dyDescent="0.2">
      <c r="D20" s="138" t="str">
        <f>IF('Add-on Pricing'!G20="No","",MAX('vSphere Pricing'!A$4:A$11,D$4:D19)+1)</f>
        <v/>
      </c>
      <c r="E20" s="138" t="str">
        <f>IF(G20="No","",MAX(E$5:E19)+1)</f>
        <v/>
      </c>
      <c r="F20" s="138" t="s">
        <v>245</v>
      </c>
      <c r="G20" s="137" t="str">
        <f>IF('VMware by Broadcom'!G75="Yes","Yes","No")</f>
        <v>No</v>
      </c>
      <c r="H20" s="137" t="s">
        <v>206</v>
      </c>
      <c r="I20" s="138" t="s">
        <v>246</v>
      </c>
      <c r="J20" s="166">
        <v>150000</v>
      </c>
      <c r="K20" s="141">
        <f>VLOOKUP('VMware by Broadcom'!$C$16,'Currency and Contacts'!$H$4:$I$18,2,0)*J20</f>
        <v>137895</v>
      </c>
      <c r="L20" s="141" t="s">
        <v>28</v>
      </c>
      <c r="M20" s="138"/>
      <c r="N20" s="166">
        <f t="shared" si="2"/>
        <v>0</v>
      </c>
      <c r="O20" s="141">
        <f>VLOOKUP('VMware by Broadcom'!$C$16,'Currency and Contacts'!$H$4:$I$18,2,0)*N20</f>
        <v>0</v>
      </c>
      <c r="P20" s="141" t="s">
        <v>28</v>
      </c>
      <c r="Q20" s="138"/>
      <c r="R20" s="166">
        <f t="shared" si="1"/>
        <v>0</v>
      </c>
      <c r="S20" s="141">
        <f>VLOOKUP('VMware by Broadcom'!$C$16,'Currency and Contacts'!$H$4:$I$18,2,0)*R20</f>
        <v>0</v>
      </c>
      <c r="T20" s="138">
        <v>1</v>
      </c>
    </row>
    <row r="21" spans="4:21" x14ac:dyDescent="0.2">
      <c r="D21" s="138" t="str">
        <f>IF('Add-on Pricing'!G21="No","",MAX('vSphere Pricing'!A$4:A$11,D$4:D20)+1)</f>
        <v/>
      </c>
      <c r="E21" s="138" t="str">
        <f>IF(G21="No","",MAX(E$5:E20)+1)</f>
        <v/>
      </c>
      <c r="F21" s="138" t="s">
        <v>247</v>
      </c>
      <c r="G21" s="137" t="str">
        <f>IF('VMware by Broadcom'!G77="Yes","Yes","No")</f>
        <v>No</v>
      </c>
      <c r="H21" s="137" t="s">
        <v>206</v>
      </c>
      <c r="I21" s="138" t="s">
        <v>248</v>
      </c>
      <c r="J21" s="166">
        <v>220000</v>
      </c>
      <c r="K21" s="141">
        <f>VLOOKUP('VMware by Broadcom'!$C$16,'Currency and Contacts'!$H$4:$I$18,2,0)*J21</f>
        <v>202246</v>
      </c>
      <c r="L21" s="141" t="s">
        <v>28</v>
      </c>
      <c r="M21" s="138"/>
      <c r="N21" s="166">
        <f t="shared" si="2"/>
        <v>0</v>
      </c>
      <c r="O21" s="141">
        <f>VLOOKUP('VMware by Broadcom'!$C$16,'Currency and Contacts'!$H$4:$I$18,2,0)*N21</f>
        <v>0</v>
      </c>
      <c r="P21" s="141" t="s">
        <v>28</v>
      </c>
      <c r="Q21" s="138"/>
      <c r="R21" s="166">
        <f t="shared" si="1"/>
        <v>0</v>
      </c>
      <c r="S21" s="141">
        <f>VLOOKUP('VMware by Broadcom'!$C$16,'Currency and Contacts'!$H$4:$I$18,2,0)*R21</f>
        <v>0</v>
      </c>
      <c r="T21" s="138">
        <v>1</v>
      </c>
    </row>
    <row r="22" spans="4:21" x14ac:dyDescent="0.2">
      <c r="D22" s="138" t="str">
        <f>IF('Add-on Pricing'!G22="No","",MAX('vSphere Pricing'!A$4:A$11,D$4:D21)+1)</f>
        <v/>
      </c>
      <c r="E22" s="138" t="str">
        <f>IF(G22="No","",MAX(E$5:E21)+1)</f>
        <v/>
      </c>
      <c r="F22" s="138" t="s">
        <v>85</v>
      </c>
      <c r="G22" s="137" t="str">
        <f>IF('VMware by Broadcom'!G72="Yes","Yes","No")</f>
        <v>No</v>
      </c>
      <c r="H22" s="137" t="s">
        <v>249</v>
      </c>
      <c r="I22" s="138"/>
      <c r="J22" s="166">
        <v>0</v>
      </c>
      <c r="K22" s="141">
        <f>VLOOKUP('VMware by Broadcom'!$C$16,'Currency and Contacts'!$H$4:$I$18,2,0)*J22</f>
        <v>0</v>
      </c>
      <c r="L22" s="141" t="s">
        <v>28</v>
      </c>
      <c r="M22" s="138"/>
      <c r="N22" s="166">
        <f t="shared" si="2"/>
        <v>0</v>
      </c>
      <c r="O22" s="141">
        <f>VLOOKUP('VMware by Broadcom'!$C$16,'Currency and Contacts'!$H$4:$I$18,2,0)*N22</f>
        <v>0</v>
      </c>
      <c r="P22" s="141" t="s">
        <v>28</v>
      </c>
      <c r="Q22" s="138"/>
      <c r="R22" s="166">
        <f t="shared" si="1"/>
        <v>0</v>
      </c>
      <c r="S22" s="141">
        <f>VLOOKUP('VMware by Broadcom'!$C$16,'Currency and Contacts'!$H$4:$I$18,2,0)*R22</f>
        <v>0</v>
      </c>
      <c r="T22" s="138">
        <v>1</v>
      </c>
    </row>
    <row r="23" spans="4:21" x14ac:dyDescent="0.2">
      <c r="D23" s="138" t="str">
        <f>IF('Add-on Pricing'!G23="No","",MAX('vSphere Pricing'!A$4:A$11,D$4:D22)+1)</f>
        <v/>
      </c>
      <c r="E23" s="138" t="str">
        <f>IF(G23="No","",MAX(E$5:E22)+1)</f>
        <v/>
      </c>
      <c r="F23" s="138" t="s">
        <v>250</v>
      </c>
      <c r="G23" s="137" t="str">
        <f>IF('VMware by Broadcom'!G78="Yes","Yes","No")</f>
        <v>No</v>
      </c>
      <c r="H23" s="137" t="s">
        <v>206</v>
      </c>
      <c r="I23" s="138" t="s">
        <v>251</v>
      </c>
      <c r="J23" s="166">
        <v>220000</v>
      </c>
      <c r="K23" s="141">
        <f>VLOOKUP('VMware by Broadcom'!$C$16,'Currency and Contacts'!$H$4:$I$18,2,0)*J23</f>
        <v>202246</v>
      </c>
      <c r="L23" s="141" t="s">
        <v>28</v>
      </c>
      <c r="M23" s="138"/>
      <c r="N23" s="166">
        <f t="shared" si="2"/>
        <v>0</v>
      </c>
      <c r="O23" s="141">
        <f>VLOOKUP('VMware by Broadcom'!$C$16,'Currency and Contacts'!$H$4:$I$18,2,0)*N23</f>
        <v>0</v>
      </c>
      <c r="P23" s="141" t="s">
        <v>28</v>
      </c>
      <c r="Q23" s="138"/>
      <c r="R23" s="166">
        <f t="shared" si="1"/>
        <v>0</v>
      </c>
      <c r="S23" s="141">
        <f>VLOOKUP('VMware by Broadcom'!$C$16,'Currency and Contacts'!$H$4:$I$18,2,0)*R23</f>
        <v>0</v>
      </c>
      <c r="T23" s="138">
        <v>1</v>
      </c>
    </row>
    <row r="24" spans="4:21" x14ac:dyDescent="0.2">
      <c r="D24" s="138" t="str">
        <f>IF('Add-on Pricing'!G24="No","",MAX('vSphere Pricing'!A$4:A$11,D$4:D23)+1)</f>
        <v/>
      </c>
      <c r="E24" s="138" t="str">
        <f>IF(G24="No","",MAX(E$5:E23)+1)</f>
        <v/>
      </c>
      <c r="F24" s="138" t="s">
        <v>252</v>
      </c>
      <c r="G24" s="137" t="str">
        <f>IF('VMware by Broadcom'!G79="Yes","Yes","No")</f>
        <v>No</v>
      </c>
      <c r="H24" s="137" t="s">
        <v>206</v>
      </c>
      <c r="I24" s="138" t="s">
        <v>253</v>
      </c>
      <c r="J24" s="166">
        <v>220000</v>
      </c>
      <c r="K24" s="141">
        <f>VLOOKUP('VMware by Broadcom'!$C$16,'Currency and Contacts'!$H$4:$I$18,2,0)*J24</f>
        <v>202246</v>
      </c>
      <c r="L24" s="141" t="s">
        <v>28</v>
      </c>
      <c r="M24" s="138"/>
      <c r="N24" s="166">
        <f t="shared" si="2"/>
        <v>0</v>
      </c>
      <c r="O24" s="141">
        <f>VLOOKUP('VMware by Broadcom'!$C$16,'Currency and Contacts'!$H$4:$I$18,2,0)*N24</f>
        <v>0</v>
      </c>
      <c r="P24" s="141" t="s">
        <v>28</v>
      </c>
      <c r="Q24" s="138"/>
      <c r="R24" s="166">
        <f t="shared" si="1"/>
        <v>0</v>
      </c>
      <c r="S24" s="141">
        <f>VLOOKUP('VMware by Broadcom'!$C$16,'Currency and Contacts'!$H$4:$I$18,2,0)*R24</f>
        <v>0</v>
      </c>
      <c r="T24" s="138">
        <v>1</v>
      </c>
    </row>
    <row r="25" spans="4:21" x14ac:dyDescent="0.2">
      <c r="D25" s="138" t="str">
        <f>IF('Add-on Pricing'!G25="No","",MAX('vSphere Pricing'!A$4:A$11,D$4:D24)+1)</f>
        <v/>
      </c>
      <c r="E25" s="138" t="str">
        <f>IF(G25="No","",MAX(E$5:E24)+1)</f>
        <v/>
      </c>
      <c r="F25" s="138" t="s">
        <v>106</v>
      </c>
      <c r="G25" s="137" t="str">
        <f>IF('VMware by Broadcom'!G92="Yes","Yes","No")</f>
        <v>No</v>
      </c>
      <c r="H25" s="137" t="s">
        <v>206</v>
      </c>
      <c r="I25" s="138" t="s">
        <v>254</v>
      </c>
      <c r="J25" s="166">
        <v>95000</v>
      </c>
      <c r="K25" s="141">
        <f>VLOOKUP('VMware by Broadcom'!$C$16,'Currency and Contacts'!$H$4:$I$18,2,0)*J25</f>
        <v>87333.5</v>
      </c>
      <c r="L25" s="141" t="s">
        <v>28</v>
      </c>
      <c r="M25" s="138"/>
      <c r="N25" s="166">
        <f t="shared" si="2"/>
        <v>0</v>
      </c>
      <c r="O25" s="141">
        <f>VLOOKUP('VMware by Broadcom'!$C$16,'Currency and Contacts'!$H$4:$I$18,2,0)*N25</f>
        <v>0</v>
      </c>
      <c r="P25" s="141" t="s">
        <v>28</v>
      </c>
      <c r="Q25" s="138"/>
      <c r="R25" s="166">
        <f t="shared" si="1"/>
        <v>0</v>
      </c>
      <c r="S25" s="141">
        <f>VLOOKUP('VMware by Broadcom'!$C$16,'Currency and Contacts'!$H$4:$I$18,2,0)*R25</f>
        <v>0</v>
      </c>
      <c r="T25" s="138">
        <v>1</v>
      </c>
    </row>
    <row r="26" spans="4:21" x14ac:dyDescent="0.2">
      <c r="D26" s="138" t="str">
        <f>IF('Add-on Pricing'!G26="No","",MAX('vSphere Pricing'!A$4:A$11,D$4:D25)+1)</f>
        <v/>
      </c>
      <c r="E26" s="138" t="str">
        <f>IF(G26="No","",MAX(E$5:E25)+1)</f>
        <v/>
      </c>
      <c r="F26" s="296" t="s">
        <v>78</v>
      </c>
      <c r="G26" s="295" t="str">
        <f>IF('VMware by Broadcom'!F64="Yes","Yes","No")</f>
        <v>No</v>
      </c>
      <c r="H26" s="295" t="s">
        <v>206</v>
      </c>
      <c r="I26" s="296" t="s">
        <v>255</v>
      </c>
      <c r="J26" s="297">
        <v>209</v>
      </c>
      <c r="K26" s="141">
        <f>VLOOKUP('VMware by Broadcom'!$C$16,'Currency and Contacts'!$H$4:$I$18,2,0)*J26</f>
        <v>192.1337</v>
      </c>
      <c r="L26" s="141" t="s">
        <v>109</v>
      </c>
      <c r="M26" s="138" t="s">
        <v>255</v>
      </c>
      <c r="N26" s="166">
        <f t="shared" ref="N26" si="3">IF(L26="NA",0,J26*3)</f>
        <v>627</v>
      </c>
      <c r="O26" s="141">
        <f>VLOOKUP('VMware by Broadcom'!$C$16,'Currency and Contacts'!$H$4:$I$18,2,0)*N26</f>
        <v>576.40110000000004</v>
      </c>
      <c r="P26" s="141" t="s">
        <v>110</v>
      </c>
      <c r="Q26" s="138" t="s">
        <v>255</v>
      </c>
      <c r="R26" s="166">
        <f t="shared" ref="R26" si="4">IF(P26="NA",0,J26*5)</f>
        <v>1045</v>
      </c>
      <c r="S26" s="141">
        <f>VLOOKUP('VMware by Broadcom'!$C$16,'Currency and Contacts'!$H$4:$I$18,2,0)*R26</f>
        <v>960.66849999999999</v>
      </c>
      <c r="T26" s="138">
        <f>IF(G26="No",0,IF('VMware by Broadcom'!I64&lt;1,1,'VMware by Broadcom'!I64))</f>
        <v>0</v>
      </c>
      <c r="U26" s="31" t="s">
        <v>256</v>
      </c>
    </row>
    <row r="27" spans="4:21" x14ac:dyDescent="0.2">
      <c r="D27" s="138" t="str">
        <f>IF('Add-on Pricing'!G27="No","",MAX('vSphere Pricing'!A$4:A$11,D$4:D26)+1)</f>
        <v/>
      </c>
      <c r="E27" s="138" t="str">
        <f>IF(G27="No","",MAX(E$5:E26)+1)</f>
        <v/>
      </c>
      <c r="F27" s="138" t="s">
        <v>77</v>
      </c>
      <c r="G27" s="137" t="str">
        <f>IF('VMware by Broadcom'!F63="Yes","Yes","No")</f>
        <v>No</v>
      </c>
      <c r="H27" s="137" t="s">
        <v>206</v>
      </c>
      <c r="I27" s="138" t="s">
        <v>257</v>
      </c>
      <c r="J27" s="166">
        <v>6000</v>
      </c>
      <c r="K27" s="141">
        <f>VLOOKUP('VMware by Broadcom'!$C$16,'Currency and Contacts'!$H$4:$I$18,2,0)*J27</f>
        <v>5515.8</v>
      </c>
      <c r="L27" s="141" t="s">
        <v>109</v>
      </c>
      <c r="M27" s="138" t="s">
        <v>257</v>
      </c>
      <c r="N27" s="166">
        <f t="shared" ref="N27:N42" si="5">IF(L27="NA",0,J27*3)</f>
        <v>18000</v>
      </c>
      <c r="O27" s="141">
        <f>VLOOKUP('VMware by Broadcom'!$C$16,'Currency and Contacts'!$H$4:$I$18,2,0)*N27</f>
        <v>16547.400000000001</v>
      </c>
      <c r="P27" s="141" t="s">
        <v>110</v>
      </c>
      <c r="Q27" s="138" t="s">
        <v>257</v>
      </c>
      <c r="R27" s="166">
        <f t="shared" ref="R27:R42" si="6">IF(P27="NA",0,J27*5)</f>
        <v>30000</v>
      </c>
      <c r="S27" s="141">
        <f>VLOOKUP('VMware by Broadcom'!$C$16,'Currency and Contacts'!$H$4:$I$18,2,0)*R27</f>
        <v>27579</v>
      </c>
      <c r="T27" s="138">
        <f>IF(G27="No",0,IF('VMware by Broadcom'!I63&lt;10,10,'VMware by Broadcom'!I63))</f>
        <v>0</v>
      </c>
      <c r="U27" s="31" t="s">
        <v>258</v>
      </c>
    </row>
    <row r="28" spans="4:21" x14ac:dyDescent="0.2">
      <c r="D28" s="138" t="str">
        <f>IF('Add-on Pricing'!G28="No","",MAX('vSphere Pricing'!A$4:A$11,D$4:D27)+1)</f>
        <v/>
      </c>
      <c r="E28" s="138" t="str">
        <f>IF(G28="No","",MAX(E$5:E27)+1)</f>
        <v/>
      </c>
      <c r="F28" s="138" t="s">
        <v>259</v>
      </c>
      <c r="G28" s="137" t="str">
        <f>IF('VMware by Broadcom'!F62="Yes","Yes","No")</f>
        <v>No</v>
      </c>
      <c r="H28" s="137" t="s">
        <v>206</v>
      </c>
      <c r="I28" s="138" t="s">
        <v>260</v>
      </c>
      <c r="J28" s="166">
        <v>0.3</v>
      </c>
      <c r="K28" s="141">
        <f>VLOOKUP('VMware by Broadcom'!$C$16,'Currency and Contacts'!$H$4:$I$18,2,0)*J28</f>
        <v>0.27578999999999998</v>
      </c>
      <c r="L28" s="141" t="s">
        <v>28</v>
      </c>
      <c r="M28" s="138"/>
      <c r="N28" s="166">
        <f t="shared" si="5"/>
        <v>0</v>
      </c>
      <c r="O28" s="141">
        <f>VLOOKUP('VMware by Broadcom'!$C$16,'Currency and Contacts'!$H$4:$I$18,2,0)*N28</f>
        <v>0</v>
      </c>
      <c r="P28" s="141" t="s">
        <v>28</v>
      </c>
      <c r="Q28" s="138"/>
      <c r="R28" s="166">
        <f t="shared" si="6"/>
        <v>0</v>
      </c>
      <c r="S28" s="141">
        <f>VLOOKUP('VMware by Broadcom'!$C$16,'Currency and Contacts'!$H$4:$I$18,2,0)*R28</f>
        <v>0</v>
      </c>
      <c r="T28" s="138">
        <f>IF(G28="No",0,IF('VMware by Broadcom'!I62&lt;1,1,'VMware by Broadcom'!I62))</f>
        <v>0</v>
      </c>
    </row>
    <row r="29" spans="4:21" x14ac:dyDescent="0.2">
      <c r="D29" s="138" t="str">
        <f>IF('Add-on Pricing'!G29="No","",MAX('vSphere Pricing'!A$4:A$11,D$4:D28)+1)</f>
        <v/>
      </c>
      <c r="E29" s="138" t="str">
        <f>IF(G29="No","",MAX(E$5:E28)+1)</f>
        <v/>
      </c>
      <c r="F29" s="138" t="s">
        <v>261</v>
      </c>
      <c r="G29" s="137" t="str">
        <f>IF('VMware by Broadcom'!G80="Yes","Yes","No")</f>
        <v>No</v>
      </c>
      <c r="H29" s="137" t="s">
        <v>206</v>
      </c>
      <c r="I29" s="138" t="s">
        <v>262</v>
      </c>
      <c r="J29" s="166">
        <v>220000</v>
      </c>
      <c r="K29" s="141">
        <f>VLOOKUP('VMware by Broadcom'!$C$16,'Currency and Contacts'!$H$4:$I$18,2,0)*J29</f>
        <v>202246</v>
      </c>
      <c r="L29" s="141" t="s">
        <v>28</v>
      </c>
      <c r="M29" s="138"/>
      <c r="N29" s="166">
        <f t="shared" si="5"/>
        <v>0</v>
      </c>
      <c r="O29" s="141">
        <f>VLOOKUP('VMware by Broadcom'!$C$16,'Currency and Contacts'!$H$4:$I$18,2,0)*N29</f>
        <v>0</v>
      </c>
      <c r="P29" s="141" t="s">
        <v>28</v>
      </c>
      <c r="Q29" s="138"/>
      <c r="R29" s="166">
        <f t="shared" si="6"/>
        <v>0</v>
      </c>
      <c r="S29" s="141">
        <f>VLOOKUP('VMware by Broadcom'!$C$16,'Currency and Contacts'!$H$4:$I$18,2,0)*R29</f>
        <v>0</v>
      </c>
      <c r="T29" s="138">
        <v>1</v>
      </c>
    </row>
    <row r="30" spans="4:21" x14ac:dyDescent="0.2">
      <c r="D30" s="138" t="str">
        <f>IF('Add-on Pricing'!G30="No","",MAX('vSphere Pricing'!A$4:A$11,D$4:D29)+1)</f>
        <v/>
      </c>
      <c r="E30" s="138" t="str">
        <f>IF(G30="No","",MAX(E$5:E29)+1)</f>
        <v/>
      </c>
      <c r="F30" s="138" t="s">
        <v>263</v>
      </c>
      <c r="G30" s="137" t="str">
        <f>IF('VMware by Broadcom'!G81="Yes","Yes","No")</f>
        <v>No</v>
      </c>
      <c r="H30" s="137" t="s">
        <v>206</v>
      </c>
      <c r="I30" s="138" t="s">
        <v>264</v>
      </c>
      <c r="J30" s="166">
        <v>220000</v>
      </c>
      <c r="K30" s="141">
        <f>VLOOKUP('VMware by Broadcom'!$C$16,'Currency and Contacts'!$H$4:$I$18,2,0)*J30</f>
        <v>202246</v>
      </c>
      <c r="L30" s="141" t="s">
        <v>28</v>
      </c>
      <c r="M30" s="138"/>
      <c r="N30" s="166">
        <f t="shared" si="5"/>
        <v>0</v>
      </c>
      <c r="O30" s="141">
        <f>VLOOKUP('VMware by Broadcom'!$C$16,'Currency and Contacts'!$H$4:$I$18,2,0)*N30</f>
        <v>0</v>
      </c>
      <c r="P30" s="141" t="s">
        <v>28</v>
      </c>
      <c r="Q30" s="138"/>
      <c r="R30" s="166">
        <f t="shared" si="6"/>
        <v>0</v>
      </c>
      <c r="S30" s="141">
        <f>VLOOKUP('VMware by Broadcom'!$C$16,'Currency and Contacts'!$H$4:$I$18,2,0)*R30</f>
        <v>0</v>
      </c>
      <c r="T30" s="138">
        <v>1</v>
      </c>
    </row>
    <row r="31" spans="4:21" x14ac:dyDescent="0.2">
      <c r="D31" s="138" t="str">
        <f>IF('Add-on Pricing'!G31="No","",MAX('vSphere Pricing'!A$4:A$11,D$4:D30)+1)</f>
        <v/>
      </c>
      <c r="E31" s="138" t="str">
        <f>IF(G31="No","",MAX(E$5:E30)+1)</f>
        <v/>
      </c>
      <c r="F31" s="138" t="s">
        <v>265</v>
      </c>
      <c r="G31" s="137" t="str">
        <f>IF('VMware by Broadcom'!G82="Yes","Yes","No")</f>
        <v>No</v>
      </c>
      <c r="H31" s="137" t="s">
        <v>206</v>
      </c>
      <c r="I31" s="138" t="s">
        <v>266</v>
      </c>
      <c r="J31" s="166">
        <v>220000</v>
      </c>
      <c r="K31" s="141">
        <f>VLOOKUP('VMware by Broadcom'!$C$16,'Currency and Contacts'!$H$4:$I$18,2,0)*J31</f>
        <v>202246</v>
      </c>
      <c r="L31" s="141" t="s">
        <v>28</v>
      </c>
      <c r="M31" s="138"/>
      <c r="N31" s="166">
        <f t="shared" si="5"/>
        <v>0</v>
      </c>
      <c r="O31" s="141">
        <f>VLOOKUP('VMware by Broadcom'!$C$16,'Currency and Contacts'!$H$4:$I$18,2,0)*N31</f>
        <v>0</v>
      </c>
      <c r="P31" s="141" t="s">
        <v>28</v>
      </c>
      <c r="Q31" s="138"/>
      <c r="R31" s="166">
        <f t="shared" si="6"/>
        <v>0</v>
      </c>
      <c r="S31" s="141">
        <f>VLOOKUP('VMware by Broadcom'!$C$16,'Currency and Contacts'!$H$4:$I$18,2,0)*R31</f>
        <v>0</v>
      </c>
      <c r="T31" s="138">
        <v>1</v>
      </c>
    </row>
    <row r="32" spans="4:21" x14ac:dyDescent="0.2">
      <c r="D32" s="138" t="str">
        <f>IF('Add-on Pricing'!G32="No","",MAX('vSphere Pricing'!A$4:A$11,D$4:D31)+1)</f>
        <v/>
      </c>
      <c r="E32" s="138" t="str">
        <f>IF(G32="No","",MAX(E$5:E31)+1)</f>
        <v/>
      </c>
      <c r="F32" s="138" t="s">
        <v>267</v>
      </c>
      <c r="G32" s="137" t="str">
        <f>IF('VMware by Broadcom'!G83="Yes","Yes","No")</f>
        <v>No</v>
      </c>
      <c r="H32" s="137" t="s">
        <v>206</v>
      </c>
      <c r="I32" s="138" t="s">
        <v>268</v>
      </c>
      <c r="J32" s="166">
        <v>220000</v>
      </c>
      <c r="K32" s="141">
        <f>VLOOKUP('VMware by Broadcom'!$C$16,'Currency and Contacts'!$H$4:$I$18,2,0)*J32</f>
        <v>202246</v>
      </c>
      <c r="L32" s="141" t="s">
        <v>28</v>
      </c>
      <c r="M32" s="138"/>
      <c r="N32" s="166">
        <f t="shared" si="5"/>
        <v>0</v>
      </c>
      <c r="O32" s="141">
        <f>VLOOKUP('VMware by Broadcom'!$C$16,'Currency and Contacts'!$H$4:$I$18,2,0)*N32</f>
        <v>0</v>
      </c>
      <c r="P32" s="141" t="s">
        <v>28</v>
      </c>
      <c r="Q32" s="138"/>
      <c r="R32" s="166">
        <f t="shared" si="6"/>
        <v>0</v>
      </c>
      <c r="S32" s="141">
        <f>VLOOKUP('VMware by Broadcom'!$C$16,'Currency and Contacts'!$H$4:$I$18,2,0)*R32</f>
        <v>0</v>
      </c>
      <c r="T32" s="138">
        <v>1</v>
      </c>
    </row>
    <row r="33" spans="4:20" x14ac:dyDescent="0.2">
      <c r="D33" s="138" t="str">
        <f>IF('Add-on Pricing'!G33="No","",MAX('vSphere Pricing'!A$4:A$11,D$4:D32)+1)</f>
        <v/>
      </c>
      <c r="E33" s="138" t="str">
        <f>IF(G33="No","",MAX(E$5:E32)+1)</f>
        <v/>
      </c>
      <c r="F33" s="138" t="s">
        <v>269</v>
      </c>
      <c r="G33" s="137" t="str">
        <f>IF('VMware by Broadcom'!G84="Yes","Yes","No")</f>
        <v>No</v>
      </c>
      <c r="H33" s="137" t="s">
        <v>206</v>
      </c>
      <c r="I33" s="138" t="s">
        <v>270</v>
      </c>
      <c r="J33" s="166">
        <v>220000</v>
      </c>
      <c r="K33" s="141">
        <f>VLOOKUP('VMware by Broadcom'!$C$16,'Currency and Contacts'!$H$4:$I$18,2,0)*J33</f>
        <v>202246</v>
      </c>
      <c r="L33" s="141" t="s">
        <v>28</v>
      </c>
      <c r="M33" s="138"/>
      <c r="N33" s="166">
        <f t="shared" si="5"/>
        <v>0</v>
      </c>
      <c r="O33" s="141">
        <f>VLOOKUP('VMware by Broadcom'!$C$16,'Currency and Contacts'!$H$4:$I$18,2,0)*N33</f>
        <v>0</v>
      </c>
      <c r="P33" s="141" t="s">
        <v>28</v>
      </c>
      <c r="Q33" s="138"/>
      <c r="R33" s="166">
        <f t="shared" si="6"/>
        <v>0</v>
      </c>
      <c r="S33" s="141">
        <f>VLOOKUP('VMware by Broadcom'!$C$16,'Currency and Contacts'!$H$4:$I$18,2,0)*R33</f>
        <v>0</v>
      </c>
      <c r="T33" s="138">
        <v>1</v>
      </c>
    </row>
    <row r="34" spans="4:20" x14ac:dyDescent="0.2">
      <c r="D34" s="138" t="str">
        <f>IF('Add-on Pricing'!G34="No","",MAX('vSphere Pricing'!A$4:A$11,D$4:D33)+1)</f>
        <v/>
      </c>
      <c r="E34" s="138" t="str">
        <f>IF(G34="No","",MAX(E$5:E33)+1)</f>
        <v/>
      </c>
      <c r="F34" s="138" t="s">
        <v>271</v>
      </c>
      <c r="G34" s="137" t="str">
        <f>IF('VMware by Broadcom'!G85="Yes","Yes","No")</f>
        <v>No</v>
      </c>
      <c r="H34" s="137" t="s">
        <v>206</v>
      </c>
      <c r="I34" s="138" t="s">
        <v>272</v>
      </c>
      <c r="J34" s="166">
        <v>220000</v>
      </c>
      <c r="K34" s="141">
        <f>VLOOKUP('VMware by Broadcom'!$C$16,'Currency and Contacts'!$H$4:$I$18,2,0)*J34</f>
        <v>202246</v>
      </c>
      <c r="L34" s="141" t="s">
        <v>28</v>
      </c>
      <c r="M34" s="138"/>
      <c r="N34" s="166">
        <f t="shared" si="5"/>
        <v>0</v>
      </c>
      <c r="O34" s="141">
        <f>VLOOKUP('VMware by Broadcom'!$C$16,'Currency and Contacts'!$H$4:$I$18,2,0)*N34</f>
        <v>0</v>
      </c>
      <c r="P34" s="141" t="s">
        <v>28</v>
      </c>
      <c r="Q34" s="138"/>
      <c r="R34" s="166">
        <f t="shared" si="6"/>
        <v>0</v>
      </c>
      <c r="S34" s="141">
        <f>VLOOKUP('VMware by Broadcom'!$C$16,'Currency and Contacts'!$H$4:$I$18,2,0)*R34</f>
        <v>0</v>
      </c>
      <c r="T34" s="138">
        <v>1</v>
      </c>
    </row>
    <row r="35" spans="4:20" x14ac:dyDescent="0.2">
      <c r="D35" s="138" t="str">
        <f>IF('Add-on Pricing'!G35="No","",MAX('vSphere Pricing'!A$4:A$11,D$4:D34)+1)</f>
        <v/>
      </c>
      <c r="E35" s="138" t="str">
        <f>IF(G35="No","",MAX(E$5:E34)+1)</f>
        <v/>
      </c>
      <c r="F35" s="138" t="s">
        <v>273</v>
      </c>
      <c r="G35" s="137" t="str">
        <f>IF('VMware by Broadcom'!G86="Yes","Yes","No")</f>
        <v>No</v>
      </c>
      <c r="H35" s="137" t="s">
        <v>206</v>
      </c>
      <c r="I35" s="138" t="s">
        <v>274</v>
      </c>
      <c r="J35" s="166">
        <v>220000</v>
      </c>
      <c r="K35" s="141">
        <f>VLOOKUP('VMware by Broadcom'!$C$16,'Currency and Contacts'!$H$4:$I$18,2,0)*J35</f>
        <v>202246</v>
      </c>
      <c r="L35" s="141" t="s">
        <v>28</v>
      </c>
      <c r="M35" s="138"/>
      <c r="N35" s="166">
        <f t="shared" si="5"/>
        <v>0</v>
      </c>
      <c r="O35" s="141">
        <f>VLOOKUP('VMware by Broadcom'!$C$16,'Currency and Contacts'!$H$4:$I$18,2,0)*N35</f>
        <v>0</v>
      </c>
      <c r="P35" s="141" t="s">
        <v>28</v>
      </c>
      <c r="Q35" s="138"/>
      <c r="R35" s="166">
        <f t="shared" si="6"/>
        <v>0</v>
      </c>
      <c r="S35" s="141">
        <f>VLOOKUP('VMware by Broadcom'!$C$16,'Currency and Contacts'!$H$4:$I$18,2,0)*R35</f>
        <v>0</v>
      </c>
      <c r="T35" s="138">
        <v>1</v>
      </c>
    </row>
    <row r="36" spans="4:20" x14ac:dyDescent="0.2">
      <c r="D36" s="138" t="str">
        <f>IF('Add-on Pricing'!G36="No","",MAX('vSphere Pricing'!A$4:A$11,D$4:D35)+1)</f>
        <v/>
      </c>
      <c r="E36" s="138" t="str">
        <f>IF(G36="No","",MAX(E$5:E35)+1)</f>
        <v/>
      </c>
      <c r="F36" s="190" t="s">
        <v>275</v>
      </c>
      <c r="G36" s="137" t="str">
        <f>IF('VMware by Broadcom'!G87="Yes","Yes","No")</f>
        <v>No</v>
      </c>
      <c r="H36" s="137" t="s">
        <v>206</v>
      </c>
      <c r="I36" s="138" t="s">
        <v>276</v>
      </c>
      <c r="J36" s="166">
        <v>220000</v>
      </c>
      <c r="K36" s="141">
        <f>VLOOKUP('VMware by Broadcom'!$C$16,'Currency and Contacts'!$H$4:$I$18,2,0)*J36</f>
        <v>202246</v>
      </c>
      <c r="L36" s="141" t="s">
        <v>28</v>
      </c>
      <c r="M36" s="138"/>
      <c r="N36" s="166">
        <f t="shared" si="5"/>
        <v>0</v>
      </c>
      <c r="O36" s="141">
        <f>VLOOKUP('VMware by Broadcom'!$C$16,'Currency and Contacts'!$H$4:$I$18,2,0)*N36</f>
        <v>0</v>
      </c>
      <c r="P36" s="141" t="s">
        <v>28</v>
      </c>
      <c r="Q36" s="138"/>
      <c r="R36" s="166">
        <f t="shared" si="6"/>
        <v>0</v>
      </c>
      <c r="S36" s="141">
        <f>VLOOKUP('VMware by Broadcom'!$C$16,'Currency and Contacts'!$H$4:$I$18,2,0)*R36</f>
        <v>0</v>
      </c>
      <c r="T36" s="138">
        <v>1</v>
      </c>
    </row>
    <row r="37" spans="4:20" ht="15" x14ac:dyDescent="0.2">
      <c r="D37" s="138" t="str">
        <f>IF('Add-on Pricing'!G37="No","",MAX('vSphere Pricing'!A$4:A$11,D$4:D36)+1)</f>
        <v/>
      </c>
      <c r="E37" s="138" t="str">
        <f>IF(G37="No","",MAX(E$5:E36)+1)</f>
        <v/>
      </c>
      <c r="F37" s="86" t="s">
        <v>87</v>
      </c>
      <c r="G37" s="137" t="str">
        <f>IF('VMware by Broadcom'!G73="Yes","Yes","No")</f>
        <v>No</v>
      </c>
      <c r="H37" s="137" t="s">
        <v>206</v>
      </c>
      <c r="I37" s="138" t="s">
        <v>277</v>
      </c>
      <c r="J37" s="166">
        <v>150000</v>
      </c>
      <c r="K37" s="141">
        <f>VLOOKUP('VMware by Broadcom'!$C$16,'Currency and Contacts'!$H$4:$I$18,2,0)*J37</f>
        <v>137895</v>
      </c>
      <c r="L37" s="141" t="s">
        <v>28</v>
      </c>
      <c r="M37" s="138"/>
      <c r="N37" s="166">
        <f t="shared" si="5"/>
        <v>0</v>
      </c>
      <c r="O37" s="141">
        <f>VLOOKUP('VMware by Broadcom'!$C$16,'Currency and Contacts'!$H$4:$I$18,2,0)*N37</f>
        <v>0</v>
      </c>
      <c r="P37" s="141" t="s">
        <v>28</v>
      </c>
      <c r="Q37" s="138"/>
      <c r="R37" s="166">
        <f t="shared" si="6"/>
        <v>0</v>
      </c>
      <c r="S37" s="141">
        <f>VLOOKUP('VMware by Broadcom'!$C$16,'Currency and Contacts'!$H$4:$I$18,2,0)*R37</f>
        <v>0</v>
      </c>
      <c r="T37" s="138">
        <v>1</v>
      </c>
    </row>
    <row r="38" spans="4:20" x14ac:dyDescent="0.2">
      <c r="D38" s="138" t="str">
        <f>IF('Add-on Pricing'!G38="No","",MAX('vSphere Pricing'!A$4:A$11,D$4:D37)+1)</f>
        <v/>
      </c>
      <c r="E38" s="138" t="str">
        <f>IF(G38="No","",MAX(E$5:E37)+1)</f>
        <v/>
      </c>
      <c r="F38" s="190" t="s">
        <v>88</v>
      </c>
      <c r="G38" s="137" t="str">
        <f>IF('VMware by Broadcom'!G74="Yes","Yes","No")</f>
        <v>No</v>
      </c>
      <c r="H38" s="137" t="s">
        <v>206</v>
      </c>
      <c r="I38" s="138" t="s">
        <v>278</v>
      </c>
      <c r="J38" s="166">
        <v>150000</v>
      </c>
      <c r="K38" s="141">
        <f>VLOOKUP('VMware by Broadcom'!$C$16,'Currency and Contacts'!$H$4:$I$18,2,0)*J38</f>
        <v>137895</v>
      </c>
      <c r="L38" s="141" t="s">
        <v>28</v>
      </c>
      <c r="M38" s="138"/>
      <c r="N38" s="166">
        <f t="shared" si="5"/>
        <v>0</v>
      </c>
      <c r="O38" s="141">
        <f>VLOOKUP('VMware by Broadcom'!$C$16,'Currency and Contacts'!$H$4:$I$18,2,0)*N38</f>
        <v>0</v>
      </c>
      <c r="P38" s="141" t="s">
        <v>28</v>
      </c>
      <c r="Q38" s="138"/>
      <c r="R38" s="166">
        <f t="shared" si="6"/>
        <v>0</v>
      </c>
      <c r="S38" s="141">
        <f>VLOOKUP('VMware by Broadcom'!$C$16,'Currency and Contacts'!$H$4:$I$18,2,0)*R38</f>
        <v>0</v>
      </c>
      <c r="T38" s="138">
        <v>1</v>
      </c>
    </row>
    <row r="39" spans="4:20" x14ac:dyDescent="0.2">
      <c r="D39" s="138" t="str">
        <f>IF('Add-on Pricing'!G39="No","",MAX('vSphere Pricing'!A$4:A$11,D$4:D38)+1)</f>
        <v/>
      </c>
      <c r="E39" s="138" t="str">
        <f>IF(G39="No","",MAX(E$5:E38)+1)</f>
        <v/>
      </c>
      <c r="F39" s="190" t="s">
        <v>103</v>
      </c>
      <c r="G39" s="137" t="str">
        <f>IF('VMware by Broadcom'!G89="Yes","Yes","No")</f>
        <v>No</v>
      </c>
      <c r="H39" s="137" t="s">
        <v>206</v>
      </c>
      <c r="I39" s="138" t="s">
        <v>279</v>
      </c>
      <c r="J39" s="166">
        <v>95000</v>
      </c>
      <c r="K39" s="141">
        <f>VLOOKUP('VMware by Broadcom'!$C$16,'Currency and Contacts'!$H$4:$I$18,2,0)*J39</f>
        <v>87333.5</v>
      </c>
      <c r="L39" s="141" t="s">
        <v>28</v>
      </c>
      <c r="M39" s="138"/>
      <c r="N39" s="166">
        <f t="shared" si="5"/>
        <v>0</v>
      </c>
      <c r="O39" s="141">
        <f>VLOOKUP('VMware by Broadcom'!$C$16,'Currency and Contacts'!$H$4:$I$18,2,0)*N39</f>
        <v>0</v>
      </c>
      <c r="P39" s="141" t="s">
        <v>28</v>
      </c>
      <c r="Q39" s="138"/>
      <c r="R39" s="166">
        <f t="shared" si="6"/>
        <v>0</v>
      </c>
      <c r="S39" s="141">
        <f>VLOOKUP('VMware by Broadcom'!$C$16,'Currency and Contacts'!$H$4:$I$18,2,0)*R39</f>
        <v>0</v>
      </c>
      <c r="T39" s="138">
        <v>1</v>
      </c>
    </row>
    <row r="40" spans="4:20" x14ac:dyDescent="0.2">
      <c r="D40" s="138" t="str">
        <f>IF('Add-on Pricing'!G40="No","",MAX('vSphere Pricing'!A$4:A$11,D$4:D39)+1)</f>
        <v/>
      </c>
      <c r="E40" s="138" t="str">
        <f>IF(G40="No","",MAX(E$5:E37)+1)</f>
        <v/>
      </c>
      <c r="F40" s="190" t="s">
        <v>105</v>
      </c>
      <c r="G40" s="137" t="str">
        <f>IF('VMware by Broadcom'!G90="Yes","Yes","No")</f>
        <v>No</v>
      </c>
      <c r="H40" s="137" t="s">
        <v>206</v>
      </c>
      <c r="I40" s="138" t="s">
        <v>280</v>
      </c>
      <c r="J40" s="166">
        <v>95000</v>
      </c>
      <c r="K40" s="141">
        <f>VLOOKUP('VMware by Broadcom'!$C$16,'Currency and Contacts'!$H$4:$I$18,2,0)*J40</f>
        <v>87333.5</v>
      </c>
      <c r="L40" s="141" t="s">
        <v>28</v>
      </c>
      <c r="M40" s="138"/>
      <c r="N40" s="166">
        <f t="shared" si="5"/>
        <v>0</v>
      </c>
      <c r="O40" s="141">
        <f>VLOOKUP('VMware by Broadcom'!$C$16,'Currency and Contacts'!$H$4:$I$18,2,0)*N40</f>
        <v>0</v>
      </c>
      <c r="P40" s="141" t="s">
        <v>28</v>
      </c>
      <c r="Q40" s="138"/>
      <c r="R40" s="166">
        <f t="shared" si="6"/>
        <v>0</v>
      </c>
      <c r="S40" s="141">
        <f>VLOOKUP('VMware by Broadcom'!$C$16,'Currency and Contacts'!$H$4:$I$18,2,0)*R40</f>
        <v>0</v>
      </c>
      <c r="T40" s="138">
        <v>1</v>
      </c>
    </row>
    <row r="41" spans="4:20" x14ac:dyDescent="0.2">
      <c r="D41" s="138" t="str">
        <f>IF('Add-on Pricing'!G41="No","",MAX('vSphere Pricing'!A$4:A$11,D$4:D40)+1)</f>
        <v/>
      </c>
      <c r="E41" s="138" t="str">
        <f>IF(G41="No","",MAX(E$5:E38)+1)</f>
        <v/>
      </c>
      <c r="F41" s="190" t="s">
        <v>104</v>
      </c>
      <c r="G41" s="137" t="str">
        <f>IF('VMware by Broadcom'!G91="Yes","Yes","No")</f>
        <v>No</v>
      </c>
      <c r="H41" s="137" t="s">
        <v>206</v>
      </c>
      <c r="I41" s="138" t="s">
        <v>281</v>
      </c>
      <c r="J41" s="166">
        <v>95000</v>
      </c>
      <c r="K41" s="141">
        <f>VLOOKUP('VMware by Broadcom'!$C$16,'Currency and Contacts'!$H$4:$I$18,2,0)*J41</f>
        <v>87333.5</v>
      </c>
      <c r="L41" s="141" t="s">
        <v>28</v>
      </c>
      <c r="M41" s="138"/>
      <c r="N41" s="166">
        <f t="shared" ref="N41" si="7">IF(L41="NA",0,J41*3)</f>
        <v>0</v>
      </c>
      <c r="O41" s="141">
        <f>VLOOKUP('VMware by Broadcom'!$C$16,'Currency and Contacts'!$H$4:$I$18,2,0)*N41</f>
        <v>0</v>
      </c>
      <c r="P41" s="141" t="s">
        <v>28</v>
      </c>
      <c r="Q41" s="138"/>
      <c r="R41" s="166">
        <f t="shared" ref="R41" si="8">IF(P41="NA",0,J41*5)</f>
        <v>0</v>
      </c>
      <c r="S41" s="141">
        <f>VLOOKUP('VMware by Broadcom'!$C$16,'Currency and Contacts'!$H$4:$I$18,2,0)*R41</f>
        <v>0</v>
      </c>
      <c r="T41" s="138">
        <v>1</v>
      </c>
    </row>
    <row r="42" spans="4:20" x14ac:dyDescent="0.2">
      <c r="D42" s="138" t="str">
        <f>IF('Add-on Pricing'!G42="No","",MAX('vSphere Pricing'!A$4:A$11,D$4:D41)+1)</f>
        <v/>
      </c>
      <c r="E42" s="138" t="str">
        <f>IF(G42="No","",MAX(E$5:E39)+1)</f>
        <v/>
      </c>
      <c r="F42" s="190"/>
      <c r="G42" s="137" t="s">
        <v>8</v>
      </c>
      <c r="H42" s="137" t="s">
        <v>206</v>
      </c>
      <c r="I42" s="138"/>
      <c r="J42" s="166">
        <v>0</v>
      </c>
      <c r="K42" s="141">
        <f>VLOOKUP('VMware by Broadcom'!$C$16,'Currency and Contacts'!$H$4:$I$18,2,0)*J42</f>
        <v>0</v>
      </c>
      <c r="L42" s="141" t="s">
        <v>28</v>
      </c>
      <c r="M42" s="138"/>
      <c r="N42" s="166">
        <f t="shared" si="5"/>
        <v>0</v>
      </c>
      <c r="O42" s="141">
        <f>VLOOKUP('VMware by Broadcom'!$C$16,'Currency and Contacts'!$H$4:$I$18,2,0)*N42</f>
        <v>0</v>
      </c>
      <c r="P42" s="141" t="s">
        <v>28</v>
      </c>
      <c r="Q42" s="138"/>
      <c r="R42" s="166">
        <f t="shared" si="6"/>
        <v>0</v>
      </c>
      <c r="S42" s="141">
        <f>VLOOKUP('VMware by Broadcom'!$C$16,'Currency and Contacts'!$H$4:$I$18,2,0)*R42</f>
        <v>0</v>
      </c>
      <c r="T42" s="138">
        <v>1</v>
      </c>
    </row>
    <row r="43" spans="4:20" x14ac:dyDescent="0.2">
      <c r="F43" s="8"/>
    </row>
    <row r="44" spans="4:20" x14ac:dyDescent="0.2">
      <c r="F44" s="8"/>
    </row>
    <row r="45" spans="4:20" x14ac:dyDescent="0.2">
      <c r="F45" s="8"/>
    </row>
    <row r="46" spans="4:20" x14ac:dyDescent="0.2">
      <c r="F46" s="8"/>
    </row>
    <row r="47" spans="4:20" x14ac:dyDescent="0.2">
      <c r="F47" s="8"/>
    </row>
    <row r="48" spans="4:20" x14ac:dyDescent="0.2">
      <c r="F48" s="8"/>
    </row>
    <row r="49" spans="4:6" x14ac:dyDescent="0.2">
      <c r="F49" s="8"/>
    </row>
    <row r="50" spans="4:6" x14ac:dyDescent="0.2">
      <c r="F50" s="8"/>
    </row>
    <row r="51" spans="4:6" x14ac:dyDescent="0.2">
      <c r="F51" s="8"/>
    </row>
    <row r="52" spans="4:6" x14ac:dyDescent="0.2">
      <c r="F52" s="8"/>
    </row>
    <row r="53" spans="4:6" x14ac:dyDescent="0.2">
      <c r="D53" s="307"/>
      <c r="F53" s="8" t="s">
        <v>75</v>
      </c>
    </row>
    <row r="54" spans="4:6" x14ac:dyDescent="0.2">
      <c r="F54" s="8"/>
    </row>
    <row r="55" spans="4:6" x14ac:dyDescent="0.2">
      <c r="F55" s="8"/>
    </row>
    <row r="56" spans="4:6" x14ac:dyDescent="0.2">
      <c r="F56" s="8"/>
    </row>
    <row r="57" spans="4:6" x14ac:dyDescent="0.2">
      <c r="F57" s="8"/>
    </row>
    <row r="58" spans="4:6" x14ac:dyDescent="0.2">
      <c r="F58" s="8"/>
    </row>
    <row r="59" spans="4:6" x14ac:dyDescent="0.2">
      <c r="F59" s="8"/>
    </row>
    <row r="60" spans="4:6" x14ac:dyDescent="0.2">
      <c r="F60" s="8"/>
    </row>
    <row r="61" spans="4:6" x14ac:dyDescent="0.2">
      <c r="F61" s="8"/>
    </row>
    <row r="62" spans="4:6" x14ac:dyDescent="0.2">
      <c r="F62" s="8"/>
    </row>
    <row r="63" spans="4:6" x14ac:dyDescent="0.2">
      <c r="F63" s="8"/>
    </row>
  </sheetData>
  <mergeCells count="5">
    <mergeCell ref="E3:E5"/>
    <mergeCell ref="F4:F5"/>
    <mergeCell ref="G4:G5"/>
    <mergeCell ref="F3:S3"/>
    <mergeCell ref="H4:S4"/>
  </mergeCells>
  <phoneticPr fontId="8" type="noConversion"/>
  <conditionalFormatting sqref="C3">
    <cfRule type="expression" dxfId="3" priority="8">
      <formula>$B$3="EUR"</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734FFD1D-26E7-4989-A121-FDAD7884F2D3}">
            <xm:f>'VMware by Broadcom'!$C$16="USD"</xm:f>
            <x14:dxf>
              <numFmt numFmtId="169" formatCode="_-[$$-409]* #,##0.00_ ;_-[$$-409]* \-#,##0.00\ ;_-[$$-409]* &quot;-&quot;??_ ;_-@_ "/>
            </x14:dxf>
          </x14:cfRule>
          <x14:cfRule type="expression" priority="2" id="{1943B7B8-DFD4-416F-A709-F7D7E720A3A2}">
            <xm:f>'VMware by Broadcom'!$C$16="GBP"</xm:f>
            <x14:dxf>
              <numFmt numFmtId="173" formatCode="_-[$£-809]* #,##0.00_-;\-[$£-809]* #,##0.00_-;_-[$£-809]* &quot;-&quot;??_-;_-@_-"/>
            </x14:dxf>
          </x14:cfRule>
          <x14:cfRule type="expression" priority="3" id="{1BB887DF-A811-403E-A369-393997529CD1}">
            <xm:f>'VMware by Broadcom'!$C$16="EUR"</xm:f>
            <x14:dxf>
              <numFmt numFmtId="164" formatCode="_-[$€-2]\ * #,##0.00_-;\-[$€-2]\ * #,##0.00_-;_-[$€-2]\ * &quot;-&quot;??_-;_-@_-"/>
            </x14:dxf>
          </x14:cfRule>
          <xm:sqref>K6:K42 O6:O42 S6:S42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00F7E-4C6D-4D8E-B46B-55FD61839AB3}">
  <dimension ref="B2:P38"/>
  <sheetViews>
    <sheetView zoomScale="120" zoomScaleNormal="120" workbookViewId="0">
      <selection activeCell="H46" sqref="H46"/>
    </sheetView>
  </sheetViews>
  <sheetFormatPr defaultColWidth="9.140625" defaultRowHeight="14.25" x14ac:dyDescent="0.2"/>
  <cols>
    <col min="1" max="1" width="9.140625" style="142"/>
    <col min="2" max="2" width="4.85546875" style="142" hidden="1" customWidth="1"/>
    <col min="3" max="3" width="9.140625" style="142"/>
    <col min="4" max="4" width="37.7109375" style="142" customWidth="1"/>
    <col min="5" max="5" width="18.28515625" style="142" customWidth="1"/>
    <col min="6" max="6" width="9.140625" style="142"/>
    <col min="7" max="7" width="7.7109375" style="142" hidden="1" customWidth="1"/>
    <col min="8" max="8" width="22.85546875" style="142" customWidth="1"/>
    <col min="9" max="9" width="17.28515625" style="142" customWidth="1"/>
    <col min="10" max="10" width="21.7109375" style="142" customWidth="1"/>
    <col min="11" max="11" width="29.140625" style="142" customWidth="1"/>
    <col min="12" max="12" width="18.85546875" style="142" customWidth="1"/>
    <col min="13" max="13" width="23" style="142" customWidth="1"/>
    <col min="14" max="14" width="13.5703125" style="142" customWidth="1"/>
    <col min="15" max="15" width="14" style="142" customWidth="1"/>
    <col min="16" max="16" width="11.5703125" style="142" bestFit="1" customWidth="1"/>
    <col min="17" max="17" width="9.5703125" style="142" bestFit="1" customWidth="1"/>
    <col min="18" max="16384" width="9.140625" style="142"/>
  </cols>
  <sheetData>
    <row r="2" spans="2:16" x14ac:dyDescent="0.2">
      <c r="C2" s="445" t="s">
        <v>282</v>
      </c>
      <c r="D2" s="445"/>
      <c r="E2" s="445"/>
      <c r="H2" s="446" t="s">
        <v>283</v>
      </c>
      <c r="I2" s="446"/>
    </row>
    <row r="3" spans="2:16" x14ac:dyDescent="0.2">
      <c r="C3" s="143" t="s">
        <v>284</v>
      </c>
      <c r="D3" s="143" t="s">
        <v>285</v>
      </c>
      <c r="E3" s="143" t="s">
        <v>286</v>
      </c>
      <c r="H3" s="144" t="s">
        <v>287</v>
      </c>
      <c r="I3" s="144" t="s">
        <v>288</v>
      </c>
    </row>
    <row r="4" spans="2:16" x14ac:dyDescent="0.2">
      <c r="B4" s="143">
        <f>IF(C4="","",MAX($B$3:B3)+1)</f>
        <v>1</v>
      </c>
      <c r="C4" s="144" t="s">
        <v>12</v>
      </c>
      <c r="D4" s="145" t="s">
        <v>289</v>
      </c>
      <c r="E4" s="146" t="s">
        <v>290</v>
      </c>
      <c r="G4" s="143">
        <f>IF(H4="","",MAX($G3:G3)+1)</f>
        <v>1</v>
      </c>
      <c r="H4" s="144" t="s">
        <v>291</v>
      </c>
      <c r="I4" s="175">
        <v>1</v>
      </c>
      <c r="M4" s="147"/>
      <c r="N4" s="148"/>
      <c r="O4" s="149"/>
      <c r="P4" s="148"/>
    </row>
    <row r="5" spans="2:16" ht="15" x14ac:dyDescent="0.25">
      <c r="B5" s="143">
        <f>IF(C5="","",MAX($B$3:B4)+1)</f>
        <v>2</v>
      </c>
      <c r="C5" s="144" t="s">
        <v>292</v>
      </c>
      <c r="D5" s="244" t="s">
        <v>293</v>
      </c>
      <c r="E5" s="146" t="s">
        <v>294</v>
      </c>
      <c r="G5" s="143">
        <f>IF(H5="","",MAX($G4:G4)+1)</f>
        <v>2</v>
      </c>
      <c r="H5" s="144" t="s">
        <v>14</v>
      </c>
      <c r="I5" s="186">
        <v>0.91930000000000001</v>
      </c>
      <c r="M5" s="147"/>
      <c r="N5" s="148"/>
      <c r="O5" s="149"/>
      <c r="P5" s="148"/>
    </row>
    <row r="6" spans="2:16" x14ac:dyDescent="0.2">
      <c r="B6" s="143">
        <f>IF(C6="","",MAX($B$3:B5)+1)</f>
        <v>3</v>
      </c>
      <c r="C6" s="144" t="s">
        <v>295</v>
      </c>
      <c r="D6" s="145" t="s">
        <v>296</v>
      </c>
      <c r="E6" s="146" t="s">
        <v>297</v>
      </c>
      <c r="G6" s="143">
        <f>IF(H6="","",MAX($G5:G5)+1)</f>
        <v>3</v>
      </c>
      <c r="H6" s="144" t="s">
        <v>298</v>
      </c>
      <c r="I6" s="174">
        <v>0.77690000000000003</v>
      </c>
    </row>
    <row r="7" spans="2:16" x14ac:dyDescent="0.2">
      <c r="B7" s="143" t="str">
        <f>IF(C7="","",MAX($B$3:B6)+1)</f>
        <v/>
      </c>
      <c r="C7" s="144"/>
      <c r="D7" s="144"/>
      <c r="E7" s="146"/>
      <c r="G7" s="143" t="str">
        <f>IF(H7="","",MAX($G6:G6)+1)</f>
        <v/>
      </c>
      <c r="H7" s="144"/>
      <c r="I7" s="144"/>
    </row>
    <row r="8" spans="2:16" x14ac:dyDescent="0.2">
      <c r="B8" s="143" t="str">
        <f>IF(C8="","",MAX($B$3:B7)+1)</f>
        <v/>
      </c>
      <c r="C8" s="144"/>
      <c r="D8" s="144"/>
      <c r="E8" s="146"/>
      <c r="G8" s="143" t="str">
        <f>IF(H8="","",MAX($G7:G7)+1)</f>
        <v/>
      </c>
      <c r="H8" s="144"/>
      <c r="I8" s="144"/>
    </row>
    <row r="9" spans="2:16" x14ac:dyDescent="0.2">
      <c r="B9" s="143" t="str">
        <f>IF(C9="","",MAX($B$3:B8)+1)</f>
        <v/>
      </c>
      <c r="C9" s="144"/>
      <c r="D9" s="144"/>
      <c r="E9" s="146"/>
      <c r="G9" s="143" t="str">
        <f>IF(H9="","",MAX($G8:G8)+1)</f>
        <v/>
      </c>
      <c r="H9" s="144"/>
      <c r="I9" s="144"/>
    </row>
    <row r="10" spans="2:16" x14ac:dyDescent="0.2">
      <c r="B10" s="143" t="str">
        <f>IF(C10="","",MAX($B$3:B9)+1)</f>
        <v/>
      </c>
      <c r="C10" s="144"/>
      <c r="D10" s="144"/>
      <c r="E10" s="146"/>
      <c r="G10" s="143" t="str">
        <f>IF(H10="","",MAX($G9:G9)+1)</f>
        <v/>
      </c>
      <c r="H10" s="144"/>
      <c r="I10" s="144"/>
    </row>
    <row r="11" spans="2:16" x14ac:dyDescent="0.2">
      <c r="B11" s="143" t="str">
        <f>IF(C11="","",MAX($B$3:B10)+1)</f>
        <v/>
      </c>
      <c r="C11" s="144"/>
      <c r="D11" s="144"/>
      <c r="E11" s="146"/>
      <c r="G11" s="143" t="str">
        <f>IF(H11="","",MAX($G10:G10)+1)</f>
        <v/>
      </c>
      <c r="H11" s="144"/>
      <c r="I11" s="144"/>
    </row>
    <row r="12" spans="2:16" x14ac:dyDescent="0.2">
      <c r="B12" s="143" t="str">
        <f>IF(C12="","",MAX($B$3:B11)+1)</f>
        <v/>
      </c>
      <c r="C12" s="144"/>
      <c r="D12" s="144"/>
      <c r="E12" s="146"/>
      <c r="G12" s="143" t="str">
        <f>IF(H12="","",MAX($G11:G11)+1)</f>
        <v/>
      </c>
      <c r="H12" s="144"/>
      <c r="I12" s="144"/>
      <c r="N12" s="148"/>
      <c r="O12" s="149"/>
      <c r="P12" s="148"/>
    </row>
    <row r="13" spans="2:16" x14ac:dyDescent="0.2">
      <c r="B13" s="143" t="str">
        <f>IF(C13="","",MAX($B$3:B12)+1)</f>
        <v/>
      </c>
      <c r="C13" s="144"/>
      <c r="D13" s="144"/>
      <c r="E13" s="146"/>
      <c r="G13" s="143" t="str">
        <f>IF(H13="","",MAX($G12:G12)+1)</f>
        <v/>
      </c>
      <c r="H13" s="144"/>
      <c r="I13" s="144"/>
      <c r="N13" s="148"/>
      <c r="O13" s="149"/>
      <c r="P13" s="148"/>
    </row>
    <row r="14" spans="2:16" x14ac:dyDescent="0.2">
      <c r="B14" s="143" t="str">
        <f>IF(C14="","",MAX($B$3:B13)+1)</f>
        <v/>
      </c>
      <c r="C14" s="144"/>
      <c r="D14" s="144"/>
      <c r="E14" s="146"/>
      <c r="G14" s="143" t="str">
        <f>IF(H14="","",MAX($G13:G13)+1)</f>
        <v/>
      </c>
      <c r="H14" s="144"/>
      <c r="I14" s="144"/>
      <c r="N14" s="148"/>
      <c r="O14" s="149"/>
      <c r="P14" s="148"/>
    </row>
    <row r="15" spans="2:16" x14ac:dyDescent="0.2">
      <c r="B15" s="143" t="str">
        <f>IF(C15="","",MAX($B$3:B14)+1)</f>
        <v/>
      </c>
      <c r="C15" s="144"/>
      <c r="D15" s="144"/>
      <c r="E15" s="146"/>
      <c r="G15" s="143" t="str">
        <f>IF(H15="","",MAX($G14:G14)+1)</f>
        <v/>
      </c>
      <c r="H15" s="144"/>
      <c r="I15" s="144"/>
    </row>
    <row r="16" spans="2:16" x14ac:dyDescent="0.2">
      <c r="B16" s="143" t="str">
        <f>IF(C16="","",MAX($B$3:B15)+1)</f>
        <v/>
      </c>
      <c r="C16" s="144"/>
      <c r="D16" s="144"/>
      <c r="E16" s="146"/>
      <c r="G16" s="143" t="str">
        <f>IF(H16="","",MAX($G15:G15)+1)</f>
        <v/>
      </c>
      <c r="H16" s="144"/>
      <c r="I16" s="144"/>
    </row>
    <row r="17" spans="2:16" ht="15" customHeight="1" x14ac:dyDescent="0.2">
      <c r="B17" s="143" t="str">
        <f>IF(C17="","",MAX($B$3:B16)+1)</f>
        <v/>
      </c>
      <c r="C17" s="144"/>
      <c r="D17" s="144"/>
      <c r="E17" s="146"/>
      <c r="G17" s="143" t="str">
        <f>IF(H17="","",MAX($G16:G16)+1)</f>
        <v/>
      </c>
      <c r="H17" s="144"/>
      <c r="I17" s="144"/>
      <c r="N17" s="148"/>
      <c r="O17" s="149"/>
      <c r="P17" s="148"/>
    </row>
    <row r="18" spans="2:16" x14ac:dyDescent="0.2">
      <c r="B18" s="143" t="str">
        <f>IF(C18="","",MAX($B$3:B17)+1)</f>
        <v/>
      </c>
      <c r="C18" s="144"/>
      <c r="D18" s="144"/>
      <c r="E18" s="146"/>
      <c r="G18" s="143" t="str">
        <f>IF(H18="","",MAX($G17:G17)+1)</f>
        <v/>
      </c>
      <c r="H18" s="144"/>
      <c r="I18" s="144"/>
      <c r="N18" s="148"/>
      <c r="O18" s="149"/>
      <c r="P18" s="148"/>
    </row>
    <row r="19" spans="2:16" x14ac:dyDescent="0.2">
      <c r="N19" s="148"/>
      <c r="O19" s="149"/>
      <c r="P19" s="148"/>
    </row>
    <row r="20" spans="2:16" hidden="1" x14ac:dyDescent="0.2">
      <c r="D20" s="143" t="s">
        <v>299</v>
      </c>
      <c r="H20" s="143" t="s">
        <v>300</v>
      </c>
    </row>
    <row r="21" spans="2:16" hidden="1" x14ac:dyDescent="0.2">
      <c r="D21" s="143" t="str">
        <f>IFERROR(INDEX(C$4:C$18,MATCH(ROW()-ROW($D$20),B$4:B$18,0)),"")</f>
        <v>NL</v>
      </c>
      <c r="H21" s="143" t="str">
        <f>IFERROR(INDEX(H$4:H$18,MATCH(ROW()-ROW($H$20),G$4:G$18,0)),"")</f>
        <v>USD</v>
      </c>
    </row>
    <row r="22" spans="2:16" hidden="1" x14ac:dyDescent="0.2">
      <c r="D22" s="143" t="str">
        <f t="shared" ref="D22:D38" si="0">IFERROR(INDEX(C$4:C$18,MATCH(ROW()-ROW($D$20),B$4:B$18,0)),"")</f>
        <v>RO</v>
      </c>
      <c r="H22" s="143" t="str">
        <f t="shared" ref="H22:H35" si="1">IFERROR(INDEX(H$4:H$18,MATCH(ROW()-ROW($H$20),G$4:G$18,0)),"")</f>
        <v>EUR</v>
      </c>
    </row>
    <row r="23" spans="2:16" hidden="1" x14ac:dyDescent="0.2">
      <c r="D23" s="143" t="str">
        <f t="shared" si="0"/>
        <v>BE&amp;L</v>
      </c>
      <c r="H23" s="143" t="str">
        <f t="shared" si="1"/>
        <v>GBP</v>
      </c>
    </row>
    <row r="24" spans="2:16" hidden="1" x14ac:dyDescent="0.2">
      <c r="D24" s="143" t="str">
        <f t="shared" si="0"/>
        <v/>
      </c>
      <c r="H24" s="143" t="str">
        <f t="shared" si="1"/>
        <v/>
      </c>
      <c r="N24" s="148"/>
      <c r="O24" s="149"/>
      <c r="P24" s="148"/>
    </row>
    <row r="25" spans="2:16" hidden="1" x14ac:dyDescent="0.2">
      <c r="D25" s="143" t="str">
        <f t="shared" si="0"/>
        <v/>
      </c>
      <c r="H25" s="143" t="str">
        <f t="shared" si="1"/>
        <v/>
      </c>
      <c r="N25" s="148"/>
      <c r="O25" s="149"/>
      <c r="P25" s="148"/>
    </row>
    <row r="26" spans="2:16" hidden="1" x14ac:dyDescent="0.2">
      <c r="D26" s="143" t="str">
        <f t="shared" si="0"/>
        <v/>
      </c>
      <c r="H26" s="143" t="str">
        <f t="shared" si="1"/>
        <v/>
      </c>
      <c r="N26" s="148"/>
      <c r="O26" s="149"/>
      <c r="P26" s="148"/>
    </row>
    <row r="27" spans="2:16" hidden="1" x14ac:dyDescent="0.2">
      <c r="D27" s="143" t="str">
        <f t="shared" si="0"/>
        <v/>
      </c>
      <c r="H27" s="143" t="str">
        <f t="shared" si="1"/>
        <v/>
      </c>
      <c r="N27" s="148"/>
      <c r="O27" s="149"/>
      <c r="P27" s="148"/>
    </row>
    <row r="28" spans="2:16" hidden="1" x14ac:dyDescent="0.2">
      <c r="D28" s="143" t="str">
        <f t="shared" si="0"/>
        <v/>
      </c>
      <c r="H28" s="143" t="str">
        <f t="shared" si="1"/>
        <v/>
      </c>
      <c r="N28" s="148"/>
      <c r="O28" s="149"/>
      <c r="P28" s="148"/>
    </row>
    <row r="29" spans="2:16" hidden="1" x14ac:dyDescent="0.2">
      <c r="D29" s="143" t="str">
        <f t="shared" si="0"/>
        <v/>
      </c>
      <c r="H29" s="143" t="str">
        <f t="shared" si="1"/>
        <v/>
      </c>
      <c r="N29" s="148"/>
      <c r="O29" s="149"/>
      <c r="P29" s="148"/>
    </row>
    <row r="30" spans="2:16" hidden="1" x14ac:dyDescent="0.2">
      <c r="D30" s="143" t="str">
        <f t="shared" si="0"/>
        <v/>
      </c>
      <c r="H30" s="143" t="str">
        <f t="shared" si="1"/>
        <v/>
      </c>
    </row>
    <row r="31" spans="2:16" hidden="1" x14ac:dyDescent="0.2">
      <c r="D31" s="143" t="str">
        <f t="shared" si="0"/>
        <v/>
      </c>
      <c r="H31" s="143" t="str">
        <f t="shared" si="1"/>
        <v/>
      </c>
    </row>
    <row r="32" spans="2:16" hidden="1" x14ac:dyDescent="0.2">
      <c r="D32" s="143" t="str">
        <f t="shared" si="0"/>
        <v/>
      </c>
      <c r="H32" s="143" t="str">
        <f t="shared" si="1"/>
        <v/>
      </c>
    </row>
    <row r="33" spans="4:8" hidden="1" x14ac:dyDescent="0.2">
      <c r="D33" s="143" t="str">
        <f t="shared" si="0"/>
        <v/>
      </c>
      <c r="H33" s="143" t="str">
        <f t="shared" si="1"/>
        <v/>
      </c>
    </row>
    <row r="34" spans="4:8" hidden="1" x14ac:dyDescent="0.2">
      <c r="D34" s="143" t="str">
        <f t="shared" si="0"/>
        <v/>
      </c>
      <c r="H34" s="143" t="str">
        <f t="shared" si="1"/>
        <v/>
      </c>
    </row>
    <row r="35" spans="4:8" hidden="1" x14ac:dyDescent="0.2">
      <c r="D35" s="143" t="str">
        <f t="shared" si="0"/>
        <v/>
      </c>
      <c r="H35" s="143" t="str">
        <f t="shared" si="1"/>
        <v/>
      </c>
    </row>
    <row r="36" spans="4:8" hidden="1" x14ac:dyDescent="0.2">
      <c r="D36" s="142" t="str">
        <f t="shared" si="0"/>
        <v/>
      </c>
    </row>
    <row r="37" spans="4:8" x14ac:dyDescent="0.2">
      <c r="D37" s="142" t="str">
        <f t="shared" si="0"/>
        <v/>
      </c>
    </row>
    <row r="38" spans="4:8" x14ac:dyDescent="0.2">
      <c r="D38" s="142" t="str">
        <f t="shared" si="0"/>
        <v/>
      </c>
    </row>
  </sheetData>
  <mergeCells count="2">
    <mergeCell ref="C2:E2"/>
    <mergeCell ref="H2:I2"/>
  </mergeCells>
  <hyperlinks>
    <hyperlink ref="D4" r:id="rId1" xr:uid="{1AF92412-520A-4D6D-B4A0-19C4182FB776}"/>
    <hyperlink ref="D5" r:id="rId2" xr:uid="{86432B43-19AF-4F48-957D-0B0533E977D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96B28EA5F8AE45B1323905E8405354" ma:contentTypeVersion="18" ma:contentTypeDescription="Create a new document." ma:contentTypeScope="" ma:versionID="106be19bdcb28c7014f6359de7b83dda">
  <xsd:schema xmlns:xsd="http://www.w3.org/2001/XMLSchema" xmlns:xs="http://www.w3.org/2001/XMLSchema" xmlns:p="http://schemas.microsoft.com/office/2006/metadata/properties" xmlns:ns2="57cebc4d-f675-4ae0-8fdb-8742bd3810b3" xmlns:ns3="19e2cffe-bf76-4015-bdfb-9eb09941bd48" targetNamespace="http://schemas.microsoft.com/office/2006/metadata/properties" ma:root="true" ma:fieldsID="dcfec759fd76029e91612f3f86992912" ns2:_="" ns3:_="">
    <xsd:import namespace="57cebc4d-f675-4ae0-8fdb-8742bd3810b3"/>
    <xsd:import namespace="19e2cffe-bf76-4015-bdfb-9eb09941bd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cebc4d-f675-4ae0-8fdb-8742bd381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0f7b148-ca8e-42c9-920e-52e5e6763c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e2cffe-bf76-4015-bdfb-9eb09941bd4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aecfb1c-71a7-4f1e-a160-d5fe925e24f6}" ma:internalName="TaxCatchAll" ma:showField="CatchAllData" ma:web="19e2cffe-bf76-4015-bdfb-9eb09941bd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criptIds xmlns="http://schemas.microsoft.com/office/extensibility/maker/v1.0" id="script-ids-node-id"/>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7cebc4d-f675-4ae0-8fdb-8742bd3810b3">
      <Terms xmlns="http://schemas.microsoft.com/office/infopath/2007/PartnerControls"/>
    </lcf76f155ced4ddcb4097134ff3c332f>
    <TaxCatchAll xmlns="19e2cffe-bf76-4015-bdfb-9eb09941bd48" xsi:nil="true"/>
    <SharedWithUsers xmlns="19e2cffe-bf76-4015-bdfb-9eb09941bd48">
      <UserInfo>
        <DisplayName>Vandenberghe, Thierry</DisplayName>
        <AccountId>41</AccountId>
        <AccountType/>
      </UserInfo>
      <UserInfo>
        <DisplayName>Rantwijk, Patrick Van</DisplayName>
        <AccountId>111</AccountId>
        <AccountType/>
      </UserInfo>
      <UserInfo>
        <DisplayName>Van Achter, Ruben</DisplayName>
        <AccountId>140</AccountId>
        <AccountType/>
      </UserInfo>
      <UserInfo>
        <DisplayName>Vogelaar, Patrick</DisplayName>
        <AccountId>24</AccountId>
        <AccountType/>
      </UserInfo>
    </SharedWithUsers>
  </documentManagement>
</p:properties>
</file>

<file path=customXml/item5.xml>�� 
</file>

<file path=customXml/itemProps1.xml><?xml version="1.0" encoding="utf-8"?>
<ds:datastoreItem xmlns:ds="http://schemas.openxmlformats.org/officeDocument/2006/customXml" ds:itemID="{E67D6973-4245-4F40-9910-0D198914E296}">
  <ds:schemaRefs>
    <ds:schemaRef ds:uri="http://schemas.microsoft.com/sharepoint/v3/contenttype/forms"/>
  </ds:schemaRefs>
</ds:datastoreItem>
</file>

<file path=customXml/itemProps2.xml><?xml version="1.0" encoding="utf-8"?>
<ds:datastoreItem xmlns:ds="http://schemas.openxmlformats.org/officeDocument/2006/customXml" ds:itemID="{6A997691-9C3F-4D87-BFB4-F8BDF743A7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cebc4d-f675-4ae0-8fdb-8742bd3810b3"/>
    <ds:schemaRef ds:uri="19e2cffe-bf76-4015-bdfb-9eb09941bd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5D1B05-98D8-4A10-AA74-5F4D6C6959AE}">
  <ds:schemaRefs>
    <ds:schemaRef ds:uri="http://schemas.microsoft.com/office/extensibility/maker/v1.0"/>
  </ds:schemaRefs>
</ds:datastoreItem>
</file>

<file path=customXml/itemProps4.xml><?xml version="1.0" encoding="utf-8"?>
<ds:datastoreItem xmlns:ds="http://schemas.openxmlformats.org/officeDocument/2006/customXml" ds:itemID="{2221B53C-FEB6-44A5-A6AF-63421773FE78}">
  <ds:schemaRefs>
    <ds:schemaRef ds:uri="http://schemas.microsoft.com/office/2006/metadata/properties"/>
    <ds:schemaRef ds:uri="http://schemas.microsoft.com/office/infopath/2007/PartnerControls"/>
    <ds:schemaRef ds:uri="57cebc4d-f675-4ae0-8fdb-8742bd3810b3"/>
    <ds:schemaRef ds:uri="19e2cffe-bf76-4015-bdfb-9eb09941bd48"/>
  </ds:schemaRefs>
</ds:datastoreItem>
</file>

<file path=customXml/itemProps5.xml><?xml version="1.0" encoding="utf-8"?>
<ds:datastoreItem xmlns:ds="http://schemas.openxmlformats.org/officeDocument/2006/customXml" ds:itemID="{CB5598FB-636C-46AE-84FF-E4AA587EE2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VMware by Broadcom</vt:lpstr>
      <vt:lpstr>vDefend Gateway</vt:lpstr>
      <vt:lpstr>Release notes</vt:lpstr>
      <vt:lpstr>NSX AVI</vt:lpstr>
      <vt:lpstr>vSphere Pricing</vt:lpstr>
      <vt:lpstr>Add-on Pricing</vt:lpstr>
      <vt:lpstr>Currency and Contacts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Lagerweij, Joey</dc:creator>
  <cp:keywords/>
  <dc:description/>
  <cp:lastModifiedBy>Joey</cp:lastModifiedBy>
  <cp:revision/>
  <dcterms:created xsi:type="dcterms:W3CDTF">2024-02-20T12:44:54Z</dcterms:created>
  <dcterms:modified xsi:type="dcterms:W3CDTF">2024-11-21T14:01:10Z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0x0101002496B28EA5F8AE45B1323905E8405354</vt:lpwstr>
  </property>
  <property fmtid="{D5CDD505-2E9C-101B-9397-08002B2CF9AE}" pid="3" name="MediaServiceImageTags">
    <vt:lpwstr/>
  </property>
  <property fmtid="{D5CDD505-2E9C-101B-9397-08002B2CF9AE}" pid="4" name="MSIP_Label_00a63304-6dc1-41cd-bc80-d6d31c0ce590_Enabled">
    <vt:lpwstr>true</vt:lpwstr>
  </property>
  <property fmtid="{D5CDD505-2E9C-101B-9397-08002B2CF9AE}" pid="5" name="MSIP_Label_00a63304-6dc1-41cd-bc80-d6d31c0ce590_SetDate">
    <vt:lpwstr>2024-04-22T06:15:01Z</vt:lpwstr>
  </property>
  <property fmtid="{D5CDD505-2E9C-101B-9397-08002B2CF9AE}" pid="6" name="MSIP_Label_00a63304-6dc1-41cd-bc80-d6d31c0ce590_Method">
    <vt:lpwstr>Privileged</vt:lpwstr>
  </property>
  <property fmtid="{D5CDD505-2E9C-101B-9397-08002B2CF9AE}" pid="7" name="MSIP_Label_00a63304-6dc1-41cd-bc80-d6d31c0ce590_Name">
    <vt:lpwstr>00a63304-6dc1-41cd-bc80-d6d31c0ce590</vt:lpwstr>
  </property>
  <property fmtid="{D5CDD505-2E9C-101B-9397-08002B2CF9AE}" pid="8" name="MSIP_Label_00a63304-6dc1-41cd-bc80-d6d31c0ce590_SiteId">
    <vt:lpwstr>7fe14ab6-8f5d-4139-84bf-cd8aed0ee6b9</vt:lpwstr>
  </property>
  <property fmtid="{D5CDD505-2E9C-101B-9397-08002B2CF9AE}" pid="9" name="MSIP_Label_00a63304-6dc1-41cd-bc80-d6d31c0ce590_ActionId">
    <vt:lpwstr>0b049182-fb49-4ecf-b49c-753f9812316f</vt:lpwstr>
  </property>
  <property fmtid="{D5CDD505-2E9C-101B-9397-08002B2CF9AE}" pid="10" name="MSIP_Label_00a63304-6dc1-41cd-bc80-d6d31c0ce590_ContentBits">
    <vt:lpwstr>0</vt:lpwstr>
  </property>
</Properties>
</file>